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ОБМЕН\2 Годовый отчеты\Годовой отчет 2025\"/>
    </mc:Choice>
  </mc:AlternateContent>
  <xr:revisionPtr revIDLastSave="0" documentId="13_ncr:1_{59FC9CE6-0FD5-4DDB-9255-2E9A5C037620}" xr6:coauthVersionLast="43" xr6:coauthVersionMax="43" xr10:uidLastSave="{00000000-0000-0000-0000-000000000000}"/>
  <bookViews>
    <workbookView xWindow="-110" yWindow="-110" windowWidth="19420" windowHeight="10420" xr2:uid="{D40D97D7-B5F3-42B3-90FC-AD7236587E47}"/>
  </bookViews>
  <sheets>
    <sheet name="КБ40Б" sheetId="1" r:id="rId1"/>
    <sheet name="КБ40В" sheetId="2" r:id="rId2"/>
    <sheet name="КБ40Г" sheetId="3" r:id="rId3"/>
    <sheet name="КБ40Д" sheetId="4" r:id="rId4"/>
    <sheet name="КБ61В" sheetId="5" r:id="rId5"/>
    <sheet name="МИра122-2" sheetId="6" r:id="rId6"/>
    <sheet name="ШК104" sheetId="7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Hlk34413745" localSheetId="0">КБ40Б!$A$368</definedName>
    <definedName name="_xlnm.Print_Area" localSheetId="0">КБ40Б!$A$1:$H$495</definedName>
    <definedName name="_xlnm.Print_Area" localSheetId="1">КБ40В!$A$1:$H$361</definedName>
    <definedName name="_xlnm.Print_Area" localSheetId="2">КБ40Г!$A$1:$H$364</definedName>
    <definedName name="_xlnm.Print_Area" localSheetId="3">КБ40Д!$A$1:$H$373</definedName>
    <definedName name="_xlnm.Print_Area" localSheetId="4">КБ61В!$A$1:$H$273</definedName>
    <definedName name="_xlnm.Print_Area" localSheetId="5">'МИра122-2'!$A$1:$H$242</definedName>
    <definedName name="_xlnm.Print_Area" localSheetId="6">ШК104!$A$1:$H$278</definedName>
    <definedName name="Справочник_работ_и_услуг">OFFSET(#REF!,,,COUNTA(#REF!))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0" i="7" l="1"/>
  <c r="F257" i="7"/>
  <c r="D258" i="7"/>
  <c r="D257" i="7"/>
  <c r="D247" i="7"/>
  <c r="D267" i="7"/>
  <c r="D266" i="7"/>
  <c r="D265" i="7"/>
  <c r="D264" i="7"/>
  <c r="D263" i="7"/>
  <c r="D262" i="7"/>
  <c r="P120" i="7"/>
  <c r="Q120" i="7" s="1"/>
  <c r="D261" i="7" l="1"/>
  <c r="G253" i="7"/>
  <c r="D250" i="7"/>
  <c r="D255" i="7"/>
  <c r="D252" i="7"/>
  <c r="D246" i="7"/>
  <c r="D245" i="7"/>
  <c r="D243" i="7"/>
  <c r="D242" i="7"/>
  <c r="D240" i="7"/>
  <c r="D268" i="7" l="1"/>
  <c r="D212" i="7" l="1"/>
  <c r="D187" i="7"/>
  <c r="D209" i="7"/>
  <c r="D203" i="7"/>
  <c r="D202" i="7"/>
  <c r="D199" i="7"/>
  <c r="D200" i="7"/>
  <c r="D197" i="7"/>
  <c r="D175" i="7" l="1"/>
  <c r="D174" i="7"/>
  <c r="D173" i="7"/>
  <c r="D172" i="7"/>
  <c r="D171" i="7"/>
  <c r="D157" i="7" l="1"/>
  <c r="D131" i="7"/>
  <c r="D130" i="7"/>
  <c r="D128" i="7"/>
  <c r="D127" i="7"/>
  <c r="D122" i="7" l="1"/>
  <c r="D121" i="7"/>
  <c r="D120" i="7"/>
  <c r="D110" i="7"/>
  <c r="B107" i="7"/>
  <c r="D105" i="7"/>
  <c r="D102" i="7"/>
  <c r="D97" i="7"/>
  <c r="D95" i="7" s="1"/>
  <c r="E95" i="7"/>
  <c r="E96" i="7" s="1"/>
  <c r="G96" i="7" s="1"/>
  <c r="I226" i="6"/>
  <c r="D233" i="6"/>
  <c r="D161" i="6"/>
  <c r="D160" i="6"/>
  <c r="D178" i="6"/>
  <c r="D231" i="6"/>
  <c r="D210" i="6"/>
  <c r="D230" i="6"/>
  <c r="D215" i="6"/>
  <c r="D218" i="6" s="1"/>
  <c r="D223" i="6"/>
  <c r="D220" i="6"/>
  <c r="D211" i="6"/>
  <c r="D208" i="6"/>
  <c r="D183" i="6"/>
  <c r="D176" i="6"/>
  <c r="D169" i="6"/>
  <c r="F95" i="7" l="1"/>
  <c r="H95" i="7" s="1"/>
  <c r="K95" i="7" s="1"/>
  <c r="D259" i="7" s="1"/>
  <c r="E102" i="7"/>
  <c r="G102" i="7" s="1"/>
  <c r="G95" i="7"/>
  <c r="F96" i="7"/>
  <c r="H96" i="7" s="1"/>
  <c r="E97" i="7"/>
  <c r="D109" i="7"/>
  <c r="E109" i="7" l="1"/>
  <c r="G109" i="7" s="1"/>
  <c r="F102" i="7"/>
  <c r="H102" i="7" s="1"/>
  <c r="K102" i="7" s="1"/>
  <c r="G97" i="7"/>
  <c r="F97" i="7"/>
  <c r="H97" i="7" s="1"/>
  <c r="E98" i="7"/>
  <c r="F109" i="7"/>
  <c r="H109" i="7" s="1"/>
  <c r="K109" i="7" s="1"/>
  <c r="D123" i="7"/>
  <c r="G98" i="7" l="1"/>
  <c r="F98" i="7"/>
  <c r="H98" i="7" s="1"/>
  <c r="E99" i="7"/>
  <c r="G99" i="7" l="1"/>
  <c r="F99" i="7"/>
  <c r="H99" i="7" s="1"/>
  <c r="E100" i="7"/>
  <c r="G100" i="7" l="1"/>
  <c r="F100" i="7"/>
  <c r="H100" i="7" s="1"/>
  <c r="E101" i="7"/>
  <c r="G101" i="7" l="1"/>
  <c r="E103" i="7"/>
  <c r="F101" i="7"/>
  <c r="H101" i="7" s="1"/>
  <c r="G103" i="7" l="1"/>
  <c r="F103" i="7"/>
  <c r="H103" i="7" s="1"/>
  <c r="E104" i="7"/>
  <c r="G104" i="7" l="1"/>
  <c r="E105" i="7"/>
  <c r="F104" i="7"/>
  <c r="H104" i="7" s="1"/>
  <c r="E106" i="7" l="1"/>
  <c r="G105" i="7"/>
  <c r="F105" i="7"/>
  <c r="H105" i="7" s="1"/>
  <c r="E108" i="7" l="1"/>
  <c r="E107" i="7"/>
  <c r="F106" i="7"/>
  <c r="H106" i="7" s="1"/>
  <c r="G106" i="7"/>
  <c r="G107" i="7" l="1"/>
  <c r="F107" i="7"/>
  <c r="H107" i="7" s="1"/>
  <c r="E110" i="7"/>
  <c r="G108" i="7"/>
  <c r="F108" i="7"/>
  <c r="H108" i="7" s="1"/>
  <c r="G110" i="7" l="1"/>
  <c r="E112" i="7"/>
  <c r="E111" i="7"/>
  <c r="F110" i="7"/>
  <c r="H110" i="7" s="1"/>
  <c r="G111" i="7" l="1"/>
  <c r="F111" i="7"/>
  <c r="H111" i="7" s="1"/>
  <c r="G112" i="7"/>
  <c r="F112" i="7"/>
  <c r="H112" i="7" s="1"/>
  <c r="E113" i="7"/>
  <c r="G113" i="7" l="1"/>
  <c r="F113" i="7"/>
  <c r="H113" i="7" s="1"/>
  <c r="E114" i="7"/>
  <c r="G114" i="7" l="1"/>
  <c r="F114" i="7"/>
  <c r="H114" i="7" s="1"/>
  <c r="E115" i="7"/>
  <c r="G115" i="7" l="1"/>
  <c r="F115" i="7"/>
  <c r="H115" i="7" s="1"/>
  <c r="E116" i="7"/>
  <c r="G116" i="7" l="1"/>
  <c r="F116" i="7"/>
  <c r="H116" i="7" s="1"/>
  <c r="E117" i="7"/>
  <c r="G117" i="7" l="1"/>
  <c r="F117" i="7"/>
  <c r="H117" i="7" s="1"/>
  <c r="E119" i="7"/>
  <c r="E118" i="7"/>
  <c r="G118" i="7" l="1"/>
  <c r="F118" i="7"/>
  <c r="H118" i="7" s="1"/>
  <c r="K118" i="7" s="1"/>
  <c r="M118" i="7" s="1"/>
  <c r="G119" i="7"/>
  <c r="E120" i="7"/>
  <c r="O120" i="7" s="1"/>
  <c r="F119" i="7"/>
  <c r="H119" i="7" s="1"/>
  <c r="E121" i="7" l="1"/>
  <c r="P121" i="7" s="1"/>
  <c r="G120" i="7"/>
  <c r="F120" i="7"/>
  <c r="H120" i="7" s="1"/>
  <c r="Q121" i="7" l="1"/>
  <c r="R121" i="7" s="1"/>
  <c r="G121" i="7"/>
  <c r="E122" i="7"/>
  <c r="P122" i="7" s="1"/>
  <c r="Q122" i="7" s="1"/>
  <c r="R122" i="7" s="1"/>
  <c r="F121" i="7"/>
  <c r="H121" i="7" s="1"/>
  <c r="D260" i="7" s="1"/>
  <c r="P123" i="7" l="1"/>
  <c r="Q123" i="7" s="1"/>
  <c r="E123" i="7"/>
  <c r="F122" i="7"/>
  <c r="H122" i="7" s="1"/>
  <c r="G122" i="7"/>
  <c r="G123" i="7" l="1"/>
  <c r="F123" i="7"/>
  <c r="H123" i="7" s="1"/>
  <c r="D150" i="6" l="1"/>
  <c r="D149" i="6"/>
  <c r="D147" i="6"/>
  <c r="D146" i="6"/>
  <c r="D145" i="6"/>
  <c r="D144" i="6"/>
  <c r="D123" i="6" l="1"/>
  <c r="D225" i="6" l="1"/>
  <c r="F218" i="6" s="1"/>
  <c r="D229" i="6" l="1"/>
  <c r="D213" i="6" l="1"/>
  <c r="D214" i="6" l="1"/>
  <c r="D121" i="6"/>
  <c r="D113" i="6"/>
  <c r="D111" i="6" s="1"/>
  <c r="D103" i="6"/>
  <c r="D102" i="6" s="1"/>
  <c r="B100" i="6"/>
  <c r="E95" i="6"/>
  <c r="E102" i="6" s="1"/>
  <c r="G102" i="6" s="1"/>
  <c r="D95" i="6"/>
  <c r="D90" i="6"/>
  <c r="D88" i="6" s="1"/>
  <c r="F88" i="6" s="1"/>
  <c r="H88" i="6" s="1"/>
  <c r="K88" i="6" s="1"/>
  <c r="D227" i="6" s="1"/>
  <c r="E89" i="6"/>
  <c r="E90" i="6" s="1"/>
  <c r="G88" i="6"/>
  <c r="F102" i="6" l="1"/>
  <c r="H102" i="6" s="1"/>
  <c r="K102" i="6" s="1"/>
  <c r="G95" i="6"/>
  <c r="F95" i="6"/>
  <c r="H95" i="6" s="1"/>
  <c r="G90" i="6"/>
  <c r="E91" i="6"/>
  <c r="D116" i="6"/>
  <c r="F90" i="6"/>
  <c r="H90" i="6" s="1"/>
  <c r="F89" i="6"/>
  <c r="H89" i="6" s="1"/>
  <c r="G89" i="6"/>
  <c r="G91" i="6" l="1"/>
  <c r="E92" i="6"/>
  <c r="F91" i="6"/>
  <c r="H91" i="6" s="1"/>
  <c r="G92" i="6" l="1"/>
  <c r="F92" i="6"/>
  <c r="H92" i="6" s="1"/>
  <c r="E93" i="6"/>
  <c r="G93" i="6" l="1"/>
  <c r="E94" i="6"/>
  <c r="F93" i="6"/>
  <c r="H93" i="6" s="1"/>
  <c r="G94" i="6" l="1"/>
  <c r="E96" i="6"/>
  <c r="F94" i="6"/>
  <c r="H94" i="6" s="1"/>
  <c r="F96" i="6" l="1"/>
  <c r="H96" i="6" s="1"/>
  <c r="E97" i="6"/>
  <c r="G96" i="6"/>
  <c r="F97" i="6" l="1"/>
  <c r="H97" i="6" s="1"/>
  <c r="E98" i="6"/>
  <c r="G97" i="6"/>
  <c r="F98" i="6" l="1"/>
  <c r="H98" i="6" s="1"/>
  <c r="E99" i="6"/>
  <c r="G98" i="6"/>
  <c r="E101" i="6" l="1"/>
  <c r="E100" i="6"/>
  <c r="F99" i="6"/>
  <c r="H99" i="6" s="1"/>
  <c r="G99" i="6"/>
  <c r="F100" i="6" l="1"/>
  <c r="H100" i="6" s="1"/>
  <c r="G100" i="6"/>
  <c r="E103" i="6"/>
  <c r="G101" i="6"/>
  <c r="F101" i="6"/>
  <c r="H101" i="6" s="1"/>
  <c r="G103" i="6" l="1"/>
  <c r="E105" i="6"/>
  <c r="E104" i="6"/>
  <c r="F103" i="6"/>
  <c r="H103" i="6" s="1"/>
  <c r="G104" i="6" l="1"/>
  <c r="F104" i="6"/>
  <c r="H104" i="6" s="1"/>
  <c r="G105" i="6"/>
  <c r="F105" i="6"/>
  <c r="H105" i="6" s="1"/>
  <c r="E106" i="6"/>
  <c r="G106" i="6" l="1"/>
  <c r="F106" i="6"/>
  <c r="H106" i="6" s="1"/>
  <c r="E107" i="6"/>
  <c r="G107" i="6" l="1"/>
  <c r="F107" i="6"/>
  <c r="H107" i="6" s="1"/>
  <c r="E108" i="6"/>
  <c r="G108" i="6" l="1"/>
  <c r="F108" i="6"/>
  <c r="H108" i="6" s="1"/>
  <c r="E109" i="6"/>
  <c r="G109" i="6" l="1"/>
  <c r="F109" i="6"/>
  <c r="H109" i="6" s="1"/>
  <c r="E110" i="6"/>
  <c r="G110" i="6" l="1"/>
  <c r="E112" i="6"/>
  <c r="E111" i="6"/>
  <c r="F110" i="6"/>
  <c r="H110" i="6" s="1"/>
  <c r="G111" i="6" l="1"/>
  <c r="F111" i="6"/>
  <c r="H111" i="6" s="1"/>
  <c r="K111" i="6" s="1"/>
  <c r="E113" i="6"/>
  <c r="F112" i="6"/>
  <c r="H112" i="6" s="1"/>
  <c r="G112" i="6"/>
  <c r="K95" i="6" l="1"/>
  <c r="M111" i="6" s="1"/>
  <c r="D226" i="6" s="1"/>
  <c r="E114" i="6"/>
  <c r="F113" i="6"/>
  <c r="H113" i="6" s="1"/>
  <c r="G113" i="6"/>
  <c r="E115" i="6" l="1"/>
  <c r="G114" i="6"/>
  <c r="F114" i="6"/>
  <c r="H114" i="6" s="1"/>
  <c r="D228" i="6" s="1"/>
  <c r="F225" i="6" s="1"/>
  <c r="F226" i="6" s="1"/>
  <c r="F115" i="6" l="1"/>
  <c r="H115" i="6" s="1"/>
  <c r="E116" i="6"/>
  <c r="G115" i="6"/>
  <c r="G116" i="6" l="1"/>
  <c r="F116" i="6"/>
  <c r="H116" i="6" s="1"/>
  <c r="D209" i="1" l="1"/>
  <c r="D456" i="1"/>
  <c r="D252" i="5"/>
  <c r="D268" i="5"/>
  <c r="D266" i="5"/>
  <c r="D265" i="5"/>
  <c r="D260" i="5"/>
  <c r="D263" i="5" s="1"/>
  <c r="D259" i="5"/>
  <c r="D258" i="5"/>
  <c r="D256" i="5"/>
  <c r="D255" i="5"/>
  <c r="D254" i="5"/>
  <c r="F260" i="5" l="1"/>
  <c r="D270" i="5"/>
  <c r="G270" i="5"/>
  <c r="C270" i="5"/>
  <c r="BG261" i="7" l="1"/>
  <c r="C257" i="7"/>
  <c r="C258" i="7" s="1"/>
  <c r="C259" i="7" s="1"/>
  <c r="C260" i="7" s="1"/>
  <c r="C261" i="7" s="1"/>
  <c r="C255" i="7"/>
  <c r="D253" i="7"/>
  <c r="K250" i="7"/>
  <c r="D191" i="7"/>
  <c r="C156" i="7"/>
  <c r="N154" i="7"/>
  <c r="O154" i="7" s="1"/>
  <c r="P154" i="7" s="1"/>
  <c r="K154" i="7"/>
  <c r="L154" i="7" s="1"/>
  <c r="J153" i="7"/>
  <c r="K153" i="7" s="1"/>
  <c r="D148" i="7"/>
  <c r="K147" i="7"/>
  <c r="L147" i="7" s="1"/>
  <c r="B147" i="7"/>
  <c r="M141" i="7"/>
  <c r="N141" i="7" s="1"/>
  <c r="N143" i="7" s="1"/>
  <c r="D136" i="7"/>
  <c r="F136" i="7" s="1"/>
  <c r="D135" i="7"/>
  <c r="M135" i="7" s="1"/>
  <c r="N135" i="7" s="1"/>
  <c r="M127" i="7"/>
  <c r="N127" i="7" s="1"/>
  <c r="D46" i="7"/>
  <c r="D27" i="7"/>
  <c r="F26" i="7" s="1"/>
  <c r="D63" i="5"/>
  <c r="D72" i="5" s="1"/>
  <c r="E26" i="7" l="1"/>
  <c r="E27" i="7" s="1"/>
  <c r="O252" i="7"/>
  <c r="E135" i="7"/>
  <c r="BF253" i="7"/>
  <c r="BG253" i="7" s="1"/>
  <c r="D309" i="4" l="1"/>
  <c r="D361" i="4" l="1"/>
  <c r="D360" i="4"/>
  <c r="D359" i="4"/>
  <c r="D358" i="4"/>
  <c r="D357" i="4"/>
  <c r="D356" i="4"/>
  <c r="D355" i="4"/>
  <c r="D354" i="4"/>
  <c r="D353" i="4"/>
  <c r="D350" i="4"/>
  <c r="D346" i="4"/>
  <c r="D345" i="4"/>
  <c r="D340" i="4"/>
  <c r="D343" i="4" s="1"/>
  <c r="D339" i="4"/>
  <c r="D338" i="4"/>
  <c r="D336" i="4"/>
  <c r="D333" i="4"/>
  <c r="D325" i="3"/>
  <c r="D322" i="2"/>
  <c r="D244" i="4" l="1"/>
  <c r="D243" i="4"/>
  <c r="D242" i="4"/>
  <c r="D241" i="4"/>
  <c r="D240" i="4"/>
  <c r="D239" i="4"/>
  <c r="D238" i="4"/>
  <c r="D223" i="4"/>
  <c r="D222" i="4"/>
  <c r="D209" i="4"/>
  <c r="D208" i="4"/>
  <c r="D176" i="4"/>
  <c r="D175" i="4"/>
  <c r="D164" i="4"/>
  <c r="D162" i="4" l="1"/>
  <c r="D148" i="4"/>
  <c r="D136" i="4"/>
  <c r="D134" i="4" l="1"/>
  <c r="D207" i="3" l="1"/>
  <c r="D242" i="3"/>
  <c r="D241" i="3"/>
  <c r="D240" i="3"/>
  <c r="D239" i="3"/>
  <c r="D238" i="3"/>
  <c r="D240" i="2" l="1"/>
  <c r="D252" i="1" l="1"/>
  <c r="D237" i="3" l="1"/>
  <c r="D236" i="3"/>
  <c r="D221" i="3"/>
  <c r="D220" i="3"/>
  <c r="D206" i="3"/>
  <c r="D174" i="3"/>
  <c r="D173" i="3"/>
  <c r="D148" i="3"/>
  <c r="D244" i="2"/>
  <c r="D243" i="2"/>
  <c r="D176" i="2"/>
  <c r="D175" i="2"/>
  <c r="D162" i="3" l="1"/>
  <c r="D160" i="3" l="1"/>
  <c r="D136" i="3" l="1"/>
  <c r="D134" i="3"/>
  <c r="D347" i="3"/>
  <c r="D343" i="3"/>
  <c r="D332" i="3"/>
  <c r="D340" i="3"/>
  <c r="M128" i="3" l="1"/>
  <c r="L128" i="3"/>
  <c r="D353" i="3"/>
  <c r="D352" i="3"/>
  <c r="D351" i="3"/>
  <c r="D350" i="3"/>
  <c r="D349" i="3"/>
  <c r="D348" i="3"/>
  <c r="D346" i="3"/>
  <c r="D345" i="3"/>
  <c r="D342" i="3"/>
  <c r="D337" i="3"/>
  <c r="D338" i="3"/>
  <c r="D335" i="3"/>
  <c r="D331" i="3"/>
  <c r="D330" i="3"/>
  <c r="D328" i="3"/>
  <c r="D327" i="3"/>
  <c r="M331" i="3" l="1"/>
  <c r="D340" i="2"/>
  <c r="D342" i="2"/>
  <c r="D339" i="2"/>
  <c r="D329" i="2"/>
  <c r="D332" i="2" s="1"/>
  <c r="D483" i="1"/>
  <c r="D463" i="1"/>
  <c r="D466" i="1" s="1"/>
  <c r="D350" i="2" l="1"/>
  <c r="D349" i="2"/>
  <c r="D348" i="2"/>
  <c r="D347" i="2"/>
  <c r="D346" i="2"/>
  <c r="D345" i="2"/>
  <c r="D344" i="2"/>
  <c r="D343" i="2"/>
  <c r="D335" i="2"/>
  <c r="D334" i="2"/>
  <c r="D328" i="2"/>
  <c r="D327" i="2"/>
  <c r="D325" i="2"/>
  <c r="D324" i="2"/>
  <c r="D308" i="4" l="1"/>
  <c r="E137" i="7" l="1"/>
  <c r="D307" i="4"/>
  <c r="D306" i="4"/>
  <c r="D305" i="4"/>
  <c r="D304" i="4"/>
  <c r="D298" i="2"/>
  <c r="D297" i="2"/>
  <c r="F137" i="7" l="1"/>
  <c r="BH263" i="7"/>
  <c r="BF260" i="7"/>
  <c r="BF261" i="7" s="1"/>
  <c r="F258" i="7"/>
  <c r="D296" i="2"/>
  <c r="D295" i="2"/>
  <c r="D294" i="2"/>
  <c r="D293" i="2"/>
  <c r="D301" i="3"/>
  <c r="D299" i="3" l="1"/>
  <c r="D298" i="3"/>
  <c r="D27" i="6" l="1"/>
  <c r="E26" i="6" s="1"/>
  <c r="E27" i="6" s="1"/>
  <c r="D46" i="6"/>
  <c r="BG229" i="6" l="1"/>
  <c r="C225" i="6"/>
  <c r="C226" i="6" s="1"/>
  <c r="C227" i="6" s="1"/>
  <c r="C228" i="6" s="1"/>
  <c r="C229" i="6" s="1"/>
  <c r="C223" i="6"/>
  <c r="D221" i="6"/>
  <c r="D148" i="6"/>
  <c r="D129" i="6"/>
  <c r="F129" i="6" s="1"/>
  <c r="D128" i="6"/>
  <c r="M128" i="6" s="1"/>
  <c r="N128" i="6" s="1"/>
  <c r="F26" i="6"/>
  <c r="D167" i="5"/>
  <c r="D166" i="5"/>
  <c r="D165" i="5"/>
  <c r="D164" i="5"/>
  <c r="D163" i="5"/>
  <c r="D162" i="5"/>
  <c r="D161" i="5"/>
  <c r="D146" i="5"/>
  <c r="K145" i="5"/>
  <c r="L145" i="5" s="1"/>
  <c r="B145" i="5"/>
  <c r="D140" i="5"/>
  <c r="M139" i="5"/>
  <c r="N139" i="5" s="1"/>
  <c r="N141" i="5" s="1"/>
  <c r="D134" i="5"/>
  <c r="F134" i="5" s="1"/>
  <c r="D133" i="5"/>
  <c r="M133" i="5" s="1"/>
  <c r="N133" i="5" s="1"/>
  <c r="D128" i="5"/>
  <c r="D126" i="5"/>
  <c r="M125" i="5"/>
  <c r="N125" i="5" s="1"/>
  <c r="D120" i="5"/>
  <c r="D119" i="5"/>
  <c r="D117" i="5"/>
  <c r="D116" i="5" s="1"/>
  <c r="D115" i="5"/>
  <c r="D114" i="5"/>
  <c r="D113" i="5"/>
  <c r="D110" i="5"/>
  <c r="D109" i="5"/>
  <c r="D108" i="5"/>
  <c r="D106" i="5"/>
  <c r="D104" i="5"/>
  <c r="D102" i="5"/>
  <c r="D101" i="5"/>
  <c r="E100" i="5"/>
  <c r="G100" i="5" s="1"/>
  <c r="D97" i="5"/>
  <c r="E94" i="5"/>
  <c r="E95" i="5" s="1"/>
  <c r="D94" i="5"/>
  <c r="G93" i="5"/>
  <c r="E128" i="6" l="1"/>
  <c r="D107" i="5"/>
  <c r="BF221" i="6"/>
  <c r="BG221" i="6" s="1"/>
  <c r="E133" i="5"/>
  <c r="F94" i="5"/>
  <c r="H94" i="5" s="1"/>
  <c r="D100" i="5"/>
  <c r="F100" i="5" s="1"/>
  <c r="H100" i="5" s="1"/>
  <c r="D93" i="5"/>
  <c r="F93" i="5" s="1"/>
  <c r="H93" i="5" s="1"/>
  <c r="G94" i="5"/>
  <c r="F95" i="5"/>
  <c r="H95" i="5" s="1"/>
  <c r="E96" i="5"/>
  <c r="G95" i="5"/>
  <c r="E107" i="5"/>
  <c r="G107" i="5" s="1"/>
  <c r="D121" i="5" l="1"/>
  <c r="E97" i="5"/>
  <c r="F96" i="5"/>
  <c r="H96" i="5" s="1"/>
  <c r="G96" i="5"/>
  <c r="F107" i="5"/>
  <c r="H107" i="5" s="1"/>
  <c r="E98" i="5" l="1"/>
  <c r="G97" i="5"/>
  <c r="F97" i="5"/>
  <c r="H97" i="5" s="1"/>
  <c r="E99" i="5" l="1"/>
  <c r="F98" i="5"/>
  <c r="G98" i="5"/>
  <c r="H98" i="5" l="1"/>
  <c r="F99" i="5"/>
  <c r="H99" i="5" s="1"/>
  <c r="E101" i="5"/>
  <c r="G99" i="5"/>
  <c r="G101" i="5" l="1"/>
  <c r="E102" i="5"/>
  <c r="F101" i="5"/>
  <c r="H101" i="5" s="1"/>
  <c r="E103" i="5" l="1"/>
  <c r="G102" i="5"/>
  <c r="F102" i="5"/>
  <c r="H102" i="5" s="1"/>
  <c r="E104" i="5" l="1"/>
  <c r="F103" i="5"/>
  <c r="H103" i="5" s="1"/>
  <c r="G103" i="5"/>
  <c r="E105" i="5" l="1"/>
  <c r="F104" i="5"/>
  <c r="H104" i="5" s="1"/>
  <c r="G104" i="5"/>
  <c r="E106" i="5" l="1"/>
  <c r="G105" i="5"/>
  <c r="F105" i="5"/>
  <c r="H105" i="5" s="1"/>
  <c r="E108" i="5" l="1"/>
  <c r="G106" i="5"/>
  <c r="F106" i="5"/>
  <c r="H106" i="5" s="1"/>
  <c r="E109" i="5" l="1"/>
  <c r="G108" i="5"/>
  <c r="F108" i="5"/>
  <c r="H108" i="5" s="1"/>
  <c r="E110" i="5" l="1"/>
  <c r="G109" i="5"/>
  <c r="F109" i="5"/>
  <c r="H109" i="5" s="1"/>
  <c r="G110" i="5" l="1"/>
  <c r="F110" i="5"/>
  <c r="H110" i="5" s="1"/>
  <c r="E111" i="5"/>
  <c r="G111" i="5" l="1"/>
  <c r="E112" i="5"/>
  <c r="F111" i="5"/>
  <c r="H111" i="5" s="1"/>
  <c r="G112" i="5" l="1"/>
  <c r="E113" i="5"/>
  <c r="F112" i="5"/>
  <c r="H112" i="5" s="1"/>
  <c r="G113" i="5" l="1"/>
  <c r="E114" i="5"/>
  <c r="F113" i="5"/>
  <c r="H113" i="5" s="1"/>
  <c r="E115" i="5" l="1"/>
  <c r="G114" i="5"/>
  <c r="F114" i="5"/>
  <c r="H114" i="5" s="1"/>
  <c r="E116" i="5" l="1"/>
  <c r="F115" i="5"/>
  <c r="H115" i="5" s="1"/>
  <c r="E117" i="5"/>
  <c r="G115" i="5"/>
  <c r="G117" i="5" l="1"/>
  <c r="E118" i="5"/>
  <c r="F117" i="5"/>
  <c r="H117" i="5" s="1"/>
  <c r="G116" i="5"/>
  <c r="F116" i="5"/>
  <c r="H116" i="5" s="1"/>
  <c r="G118" i="5" l="1"/>
  <c r="E119" i="5"/>
  <c r="F118" i="5"/>
  <c r="H118" i="5" s="1"/>
  <c r="E120" i="5" l="1"/>
  <c r="G119" i="5"/>
  <c r="F119" i="5"/>
  <c r="H119" i="5" s="1"/>
  <c r="E121" i="5" l="1"/>
  <c r="E135" i="5" s="1"/>
  <c r="F120" i="5"/>
  <c r="H120" i="5" s="1"/>
  <c r="G120" i="5"/>
  <c r="E130" i="6" l="1"/>
  <c r="G121" i="5"/>
  <c r="F121" i="5"/>
  <c r="H121" i="5" l="1"/>
  <c r="F135" i="5"/>
  <c r="BF228" i="6"/>
  <c r="BF229" i="6" s="1"/>
  <c r="F130" i="6"/>
  <c r="B159" i="3" l="1"/>
  <c r="J159" i="3"/>
  <c r="K159" i="3" s="1"/>
  <c r="K160" i="3"/>
  <c r="L160" i="3" s="1"/>
  <c r="N160" i="3"/>
  <c r="O160" i="3" s="1"/>
  <c r="P160" i="3" s="1"/>
  <c r="C162" i="3"/>
  <c r="D164" i="2"/>
  <c r="C164" i="2"/>
  <c r="N162" i="2"/>
  <c r="O162" i="2" s="1"/>
  <c r="P162" i="2" s="1"/>
  <c r="K162" i="2"/>
  <c r="L162" i="2" s="1"/>
  <c r="D162" i="2"/>
  <c r="J161" i="2"/>
  <c r="K161" i="2" s="1"/>
  <c r="B161" i="2"/>
  <c r="B232" i="1"/>
  <c r="J232" i="1"/>
  <c r="K232" i="1"/>
  <c r="D233" i="1"/>
  <c r="K233" i="1"/>
  <c r="L233" i="1" s="1"/>
  <c r="N233" i="1"/>
  <c r="O233" i="1" s="1"/>
  <c r="P233" i="1" s="1"/>
  <c r="C235" i="1"/>
  <c r="D235" i="1"/>
  <c r="P352" i="4"/>
  <c r="BG354" i="4"/>
  <c r="C350" i="4"/>
  <c r="C351" i="4" s="1"/>
  <c r="C352" i="4" s="1"/>
  <c r="C353" i="4" s="1"/>
  <c r="C354" i="4" s="1"/>
  <c r="C348" i="4"/>
  <c r="T345" i="4"/>
  <c r="D335" i="4"/>
  <c r="B307" i="4"/>
  <c r="B306" i="4"/>
  <c r="B305" i="4"/>
  <c r="B304" i="4"/>
  <c r="D294" i="4"/>
  <c r="D281" i="4"/>
  <c r="D269" i="4"/>
  <c r="D265" i="4"/>
  <c r="D256" i="4"/>
  <c r="D255" i="4"/>
  <c r="D258" i="4" s="1"/>
  <c r="D259" i="4" s="1"/>
  <c r="K254" i="4"/>
  <c r="C164" i="4"/>
  <c r="N162" i="4"/>
  <c r="O162" i="4" s="1"/>
  <c r="P162" i="4" s="1"/>
  <c r="K162" i="4"/>
  <c r="L162" i="4" s="1"/>
  <c r="J161" i="4"/>
  <c r="K161" i="4" s="1"/>
  <c r="B161" i="4"/>
  <c r="D225" i="4"/>
  <c r="D226" i="4" s="1"/>
  <c r="K221" i="4"/>
  <c r="U211" i="4"/>
  <c r="D211" i="4"/>
  <c r="D212" i="4" s="1"/>
  <c r="U205" i="4"/>
  <c r="W203" i="4"/>
  <c r="U201" i="4"/>
  <c r="W200" i="4"/>
  <c r="V211" i="4"/>
  <c r="D154" i="4"/>
  <c r="K153" i="4"/>
  <c r="L153" i="4" s="1"/>
  <c r="B153" i="4"/>
  <c r="M147" i="4"/>
  <c r="N147" i="4" s="1"/>
  <c r="N149" i="4" s="1"/>
  <c r="D142" i="4"/>
  <c r="F142" i="4" s="1"/>
  <c r="D141" i="4"/>
  <c r="M141" i="4" s="1"/>
  <c r="N141" i="4" s="1"/>
  <c r="M133" i="4"/>
  <c r="N133" i="4" s="1"/>
  <c r="N341" i="3"/>
  <c r="C342" i="3"/>
  <c r="C343" i="3" s="1"/>
  <c r="C344" i="3" s="1"/>
  <c r="C345" i="3" s="1"/>
  <c r="C346" i="3" s="1"/>
  <c r="C340" i="3"/>
  <c r="R334" i="3"/>
  <c r="B299" i="3"/>
  <c r="B298" i="3"/>
  <c r="B297" i="3"/>
  <c r="B296" i="3"/>
  <c r="D286" i="3"/>
  <c r="D273" i="3"/>
  <c r="D256" i="3"/>
  <c r="D252" i="3"/>
  <c r="D223" i="3"/>
  <c r="D224" i="3" s="1"/>
  <c r="K219" i="3"/>
  <c r="U209" i="3"/>
  <c r="D209" i="3"/>
  <c r="D210" i="3" s="1"/>
  <c r="U203" i="3"/>
  <c r="W201" i="3"/>
  <c r="U199" i="3"/>
  <c r="W198" i="3"/>
  <c r="V209" i="3"/>
  <c r="D154" i="3"/>
  <c r="K153" i="3"/>
  <c r="L153" i="3" s="1"/>
  <c r="B153" i="3"/>
  <c r="M147" i="3"/>
  <c r="N147" i="3" s="1"/>
  <c r="N149" i="3" s="1"/>
  <c r="D142" i="3"/>
  <c r="F142" i="3" s="1"/>
  <c r="D141" i="3"/>
  <c r="M141" i="3" s="1"/>
  <c r="N141" i="3" s="1"/>
  <c r="M133" i="3"/>
  <c r="N133" i="3" s="1"/>
  <c r="D348" i="4" l="1"/>
  <c r="M339" i="3"/>
  <c r="M334" i="3"/>
  <c r="W205" i="4"/>
  <c r="BF346" i="4"/>
  <c r="BG346" i="4" s="1"/>
  <c r="W211" i="4"/>
  <c r="X211" i="4" s="1"/>
  <c r="E141" i="4"/>
  <c r="X347" i="4"/>
  <c r="D210" i="4"/>
  <c r="U206" i="4"/>
  <c r="D208" i="3"/>
  <c r="E141" i="3"/>
  <c r="W209" i="3"/>
  <c r="X209" i="3" s="1"/>
  <c r="U204" i="3"/>
  <c r="D175" i="3"/>
  <c r="V336" i="3"/>
  <c r="W203" i="3"/>
  <c r="D177" i="4"/>
  <c r="P353" i="4"/>
  <c r="D178" i="4"/>
  <c r="D224" i="4"/>
  <c r="D257" i="4"/>
  <c r="D179" i="4"/>
  <c r="N342" i="3"/>
  <c r="D176" i="3"/>
  <c r="D222" i="3"/>
  <c r="D177" i="3"/>
  <c r="D223" i="2" l="1"/>
  <c r="D222" i="2"/>
  <c r="D225" i="2" s="1"/>
  <c r="D226" i="2" s="1"/>
  <c r="D209" i="2"/>
  <c r="D208" i="2"/>
  <c r="W211" i="2" s="1"/>
  <c r="D178" i="2"/>
  <c r="D156" i="2"/>
  <c r="D150" i="2"/>
  <c r="D138" i="2"/>
  <c r="D136" i="2"/>
  <c r="K221" i="2"/>
  <c r="U211" i="2"/>
  <c r="W203" i="2"/>
  <c r="U201" i="2"/>
  <c r="U205" i="2"/>
  <c r="V211" i="2" l="1"/>
  <c r="D211" i="2"/>
  <c r="D212" i="2" s="1"/>
  <c r="D177" i="2"/>
  <c r="D179" i="2"/>
  <c r="U206" i="2"/>
  <c r="W200" i="2"/>
  <c r="W205" i="2" s="1"/>
  <c r="D224" i="2"/>
  <c r="D210" i="2"/>
  <c r="D221" i="1" l="1"/>
  <c r="D207" i="1"/>
  <c r="K155" i="2" l="1"/>
  <c r="L155" i="2" s="1"/>
  <c r="B155" i="2"/>
  <c r="M149" i="2"/>
  <c r="N149" i="2" s="1"/>
  <c r="N151" i="2" s="1"/>
  <c r="D144" i="2"/>
  <c r="F144" i="2" s="1"/>
  <c r="D143" i="2"/>
  <c r="E143" i="2" s="1"/>
  <c r="M135" i="2"/>
  <c r="N135" i="2" s="1"/>
  <c r="M143" i="2" l="1"/>
  <c r="N143" i="2" s="1"/>
  <c r="D130" i="1" l="1"/>
  <c r="D128" i="1"/>
  <c r="D127" i="1" s="1"/>
  <c r="D121" i="1"/>
  <c r="D119" i="1"/>
  <c r="D117" i="1" s="1"/>
  <c r="D114" i="1"/>
  <c r="D110" i="1" s="1"/>
  <c r="E110" i="1"/>
  <c r="E117" i="1" s="1"/>
  <c r="E104" i="1"/>
  <c r="E105" i="1" s="1"/>
  <c r="D104" i="1"/>
  <c r="D103" i="1" s="1"/>
  <c r="F103" i="1" s="1"/>
  <c r="H103" i="1" s="1"/>
  <c r="G103" i="1"/>
  <c r="G104" i="1" l="1"/>
  <c r="F110" i="1"/>
  <c r="H110" i="1" s="1"/>
  <c r="F104" i="1"/>
  <c r="H104" i="1" s="1"/>
  <c r="G117" i="1"/>
  <c r="E127" i="1"/>
  <c r="E106" i="1"/>
  <c r="F105" i="1"/>
  <c r="H105" i="1" s="1"/>
  <c r="G105" i="1"/>
  <c r="F117" i="1"/>
  <c r="H117" i="1" s="1"/>
  <c r="D132" i="1"/>
  <c r="G110" i="1"/>
  <c r="E107" i="1" l="1"/>
  <c r="F106" i="1"/>
  <c r="H106" i="1" s="1"/>
  <c r="G106" i="1"/>
  <c r="E130" i="1"/>
  <c r="G127" i="1"/>
  <c r="F127" i="1"/>
  <c r="H127" i="1" s="1"/>
  <c r="E131" i="1" l="1"/>
  <c r="F130" i="1"/>
  <c r="H130" i="1" s="1"/>
  <c r="G130" i="1"/>
  <c r="E108" i="1"/>
  <c r="G107" i="1"/>
  <c r="F107" i="1"/>
  <c r="H107" i="1" s="1"/>
  <c r="E109" i="1" l="1"/>
  <c r="F108" i="1"/>
  <c r="H108" i="1" s="1"/>
  <c r="G108" i="1"/>
  <c r="E132" i="1"/>
  <c r="G131" i="1"/>
  <c r="F131" i="1"/>
  <c r="H131" i="1" s="1"/>
  <c r="G132" i="1" l="1"/>
  <c r="F132" i="1"/>
  <c r="H132" i="1" s="1"/>
  <c r="E111" i="1"/>
  <c r="F109" i="1"/>
  <c r="H109" i="1" s="1"/>
  <c r="G109" i="1"/>
  <c r="G111" i="1" l="1"/>
  <c r="E112" i="1"/>
  <c r="F111" i="1"/>
  <c r="H111" i="1" s="1"/>
  <c r="E113" i="1" l="1"/>
  <c r="G112" i="1"/>
  <c r="F112" i="1"/>
  <c r="H112" i="1" s="1"/>
  <c r="G113" i="1" l="1"/>
  <c r="E114" i="1"/>
  <c r="F113" i="1"/>
  <c r="H113" i="1" s="1"/>
  <c r="G114" i="1" l="1"/>
  <c r="E115" i="1"/>
  <c r="F114" i="1"/>
  <c r="H114" i="1" s="1"/>
  <c r="G115" i="1" l="1"/>
  <c r="F115" i="1"/>
  <c r="H115" i="1" s="1"/>
  <c r="E116" i="1"/>
  <c r="G116" i="1" l="1"/>
  <c r="E118" i="1"/>
  <c r="F116" i="1"/>
  <c r="H116" i="1" s="1"/>
  <c r="E119" i="1" l="1"/>
  <c r="F118" i="1"/>
  <c r="H118" i="1" s="1"/>
  <c r="G118" i="1"/>
  <c r="E120" i="1" l="1"/>
  <c r="G119" i="1"/>
  <c r="F119" i="1"/>
  <c r="H119" i="1" s="1"/>
  <c r="F120" i="1" l="1"/>
  <c r="H120" i="1" s="1"/>
  <c r="G120" i="1"/>
  <c r="E121" i="1"/>
  <c r="E122" i="1" l="1"/>
  <c r="G121" i="1"/>
  <c r="F121" i="1"/>
  <c r="H121" i="1" s="1"/>
  <c r="G122" i="1" l="1"/>
  <c r="F122" i="1"/>
  <c r="H122" i="1" s="1"/>
  <c r="E123" i="1"/>
  <c r="E124" i="1" l="1"/>
  <c r="G123" i="1"/>
  <c r="F123" i="1"/>
  <c r="H123" i="1" s="1"/>
  <c r="G124" i="1" l="1"/>
  <c r="F124" i="1"/>
  <c r="H124" i="1" s="1"/>
  <c r="E125" i="1"/>
  <c r="G125" i="1" l="1"/>
  <c r="F125" i="1"/>
  <c r="H125" i="1" s="1"/>
  <c r="E126" i="1"/>
  <c r="E128" i="1" l="1"/>
  <c r="G126" i="1"/>
  <c r="F126" i="1"/>
  <c r="H126" i="1" s="1"/>
  <c r="G128" i="1" l="1"/>
  <c r="E129" i="1"/>
  <c r="F128" i="1"/>
  <c r="H128" i="1" s="1"/>
  <c r="F129" i="1" l="1"/>
  <c r="H129" i="1" s="1"/>
  <c r="G129" i="1"/>
  <c r="BG343" i="2" l="1"/>
  <c r="C339" i="2"/>
  <c r="C340" i="2" s="1"/>
  <c r="C341" i="2" s="1"/>
  <c r="C342" i="2" s="1"/>
  <c r="C343" i="2" s="1"/>
  <c r="C337" i="2"/>
  <c r="D283" i="2"/>
  <c r="D270" i="2"/>
  <c r="D258" i="2"/>
  <c r="D337" i="2" l="1"/>
  <c r="O334" i="2"/>
  <c r="BF335" i="2"/>
  <c r="K332" i="2" l="1"/>
  <c r="BG335" i="2"/>
  <c r="D242" i="2" l="1"/>
  <c r="D241" i="2"/>
  <c r="D239" i="2"/>
  <c r="D238" i="2"/>
  <c r="D255" i="1" l="1"/>
  <c r="D254" i="1"/>
  <c r="D484" i="1" l="1"/>
  <c r="D476" i="1"/>
  <c r="BH479" i="1" s="1"/>
  <c r="D473" i="1"/>
  <c r="D477" i="1"/>
  <c r="D471" i="1" l="1"/>
  <c r="C471" i="1"/>
  <c r="D475" i="1"/>
  <c r="D474" i="1"/>
  <c r="D459" i="1" l="1"/>
  <c r="D128" i="4" l="1"/>
  <c r="D126" i="4"/>
  <c r="D125" i="4"/>
  <c r="D119" i="4"/>
  <c r="D115" i="4" s="1"/>
  <c r="D117" i="4"/>
  <c r="D112" i="4"/>
  <c r="D108" i="4" s="1"/>
  <c r="E102" i="4"/>
  <c r="D102" i="4"/>
  <c r="G101" i="4"/>
  <c r="D128" i="3"/>
  <c r="D126" i="3"/>
  <c r="D125" i="3" s="1"/>
  <c r="D119" i="3"/>
  <c r="D117" i="3"/>
  <c r="D112" i="3"/>
  <c r="D108" i="3" s="1"/>
  <c r="E102" i="3"/>
  <c r="D102" i="3"/>
  <c r="G101" i="3"/>
  <c r="D131" i="2"/>
  <c r="D129" i="2"/>
  <c r="D128" i="2" s="1"/>
  <c r="D122" i="2"/>
  <c r="D120" i="2"/>
  <c r="D118" i="2" s="1"/>
  <c r="D115" i="2"/>
  <c r="D111" i="2" s="1"/>
  <c r="E111" i="2"/>
  <c r="E118" i="2" s="1"/>
  <c r="E105" i="2"/>
  <c r="D105" i="2"/>
  <c r="F105" i="2" s="1"/>
  <c r="H105" i="2" s="1"/>
  <c r="G104" i="2"/>
  <c r="E103" i="4" l="1"/>
  <c r="F102" i="4"/>
  <c r="H102" i="4" s="1"/>
  <c r="F111" i="2"/>
  <c r="H111" i="2" s="1"/>
  <c r="K111" i="2" s="1"/>
  <c r="E103" i="3"/>
  <c r="G103" i="3" s="1"/>
  <c r="F102" i="3"/>
  <c r="H102" i="3" s="1"/>
  <c r="E106" i="2"/>
  <c r="F106" i="2" s="1"/>
  <c r="H106" i="2" s="1"/>
  <c r="G105" i="2"/>
  <c r="D101" i="3"/>
  <c r="F101" i="3" s="1"/>
  <c r="D101" i="4"/>
  <c r="F101" i="4" s="1"/>
  <c r="D104" i="2"/>
  <c r="F104" i="2" s="1"/>
  <c r="E104" i="4"/>
  <c r="F103" i="4"/>
  <c r="H103" i="4" s="1"/>
  <c r="G103" i="4"/>
  <c r="G102" i="4"/>
  <c r="E104" i="3"/>
  <c r="F103" i="3"/>
  <c r="H103" i="3" s="1"/>
  <c r="G102" i="3"/>
  <c r="D115" i="3"/>
  <c r="G118" i="2"/>
  <c r="E128" i="2"/>
  <c r="F128" i="2" s="1"/>
  <c r="H128" i="2" s="1"/>
  <c r="K128" i="2" s="1"/>
  <c r="E107" i="2"/>
  <c r="F118" i="2"/>
  <c r="H118" i="2" s="1"/>
  <c r="K118" i="2" s="1"/>
  <c r="G111" i="2"/>
  <c r="G106" i="2" l="1"/>
  <c r="H101" i="4"/>
  <c r="D352" i="4" s="1"/>
  <c r="D130" i="4"/>
  <c r="H101" i="3"/>
  <c r="D344" i="3" s="1"/>
  <c r="H104" i="2"/>
  <c r="M128" i="2"/>
  <c r="E105" i="4"/>
  <c r="F104" i="4"/>
  <c r="H104" i="4" s="1"/>
  <c r="G104" i="4"/>
  <c r="E105" i="3"/>
  <c r="G104" i="3"/>
  <c r="F104" i="3"/>
  <c r="H104" i="3" s="1"/>
  <c r="D130" i="3"/>
  <c r="E108" i="2"/>
  <c r="F107" i="2"/>
  <c r="H107" i="2" s="1"/>
  <c r="G107" i="2"/>
  <c r="E131" i="2"/>
  <c r="G128" i="2"/>
  <c r="I131" i="2" l="1"/>
  <c r="D341" i="2"/>
  <c r="E106" i="4"/>
  <c r="G105" i="4"/>
  <c r="F105" i="4"/>
  <c r="H105" i="4" s="1"/>
  <c r="E106" i="3"/>
  <c r="F105" i="3"/>
  <c r="H105" i="3" s="1"/>
  <c r="G105" i="3"/>
  <c r="E132" i="2"/>
  <c r="F131" i="2"/>
  <c r="H131" i="2" s="1"/>
  <c r="G131" i="2"/>
  <c r="E109" i="2"/>
  <c r="G108" i="2"/>
  <c r="F108" i="2"/>
  <c r="H108" i="2" s="1"/>
  <c r="E107" i="4" l="1"/>
  <c r="F106" i="4"/>
  <c r="H106" i="4" s="1"/>
  <c r="G106" i="4"/>
  <c r="E107" i="3"/>
  <c r="G106" i="3"/>
  <c r="F106" i="3"/>
  <c r="H106" i="3" s="1"/>
  <c r="E110" i="2"/>
  <c r="F109" i="2"/>
  <c r="H109" i="2" s="1"/>
  <c r="G109" i="2"/>
  <c r="G132" i="2"/>
  <c r="F132" i="2"/>
  <c r="H132" i="2" s="1"/>
  <c r="BH345" i="2" l="1"/>
  <c r="BF342" i="2"/>
  <c r="BF343" i="2" s="1"/>
  <c r="E109" i="4"/>
  <c r="F107" i="4"/>
  <c r="H107" i="4" s="1"/>
  <c r="G107" i="4"/>
  <c r="E108" i="4"/>
  <c r="E109" i="3"/>
  <c r="F107" i="3"/>
  <c r="H107" i="3" s="1"/>
  <c r="G107" i="3"/>
  <c r="E108" i="3"/>
  <c r="E112" i="2"/>
  <c r="F110" i="2"/>
  <c r="H110" i="2" s="1"/>
  <c r="G110" i="2"/>
  <c r="E115" i="4" l="1"/>
  <c r="G108" i="4"/>
  <c r="F108" i="4"/>
  <c r="H108" i="4" s="1"/>
  <c r="K108" i="4" s="1"/>
  <c r="E110" i="4"/>
  <c r="G109" i="4"/>
  <c r="F109" i="4"/>
  <c r="H109" i="4" s="1"/>
  <c r="G108" i="3"/>
  <c r="E110" i="3"/>
  <c r="F108" i="3"/>
  <c r="H108" i="3" s="1"/>
  <c r="K108" i="3" s="1"/>
  <c r="G109" i="3"/>
  <c r="E111" i="3"/>
  <c r="F109" i="3"/>
  <c r="H109" i="3" s="1"/>
  <c r="G112" i="2"/>
  <c r="E113" i="2"/>
  <c r="F112" i="2"/>
  <c r="H112" i="2" s="1"/>
  <c r="G110" i="4" l="1"/>
  <c r="E111" i="4"/>
  <c r="F110" i="4"/>
  <c r="H110" i="4" s="1"/>
  <c r="G115" i="4"/>
  <c r="F115" i="4"/>
  <c r="H115" i="4" s="1"/>
  <c r="K115" i="4" s="1"/>
  <c r="G110" i="3"/>
  <c r="E112" i="3"/>
  <c r="F110" i="3"/>
  <c r="H110" i="3" s="1"/>
  <c r="G111" i="3"/>
  <c r="E113" i="3"/>
  <c r="F111" i="3"/>
  <c r="H111" i="3" s="1"/>
  <c r="E114" i="2"/>
  <c r="G113" i="2"/>
  <c r="F113" i="2"/>
  <c r="H113" i="2" s="1"/>
  <c r="G111" i="4" l="1"/>
  <c r="E112" i="4"/>
  <c r="F111" i="4"/>
  <c r="H111" i="4" s="1"/>
  <c r="G112" i="3"/>
  <c r="E114" i="3"/>
  <c r="F112" i="3"/>
  <c r="H112" i="3" s="1"/>
  <c r="G113" i="3"/>
  <c r="E115" i="3"/>
  <c r="F113" i="3"/>
  <c r="H113" i="3" s="1"/>
  <c r="G114" i="2"/>
  <c r="E115" i="2"/>
  <c r="F114" i="2"/>
  <c r="H114" i="2" s="1"/>
  <c r="G112" i="4" l="1"/>
  <c r="E113" i="4"/>
  <c r="F112" i="4"/>
  <c r="H112" i="4" s="1"/>
  <c r="G114" i="3"/>
  <c r="F114" i="3"/>
  <c r="H114" i="3" s="1"/>
  <c r="E116" i="3"/>
  <c r="G115" i="3"/>
  <c r="F115" i="3"/>
  <c r="H115" i="3" s="1"/>
  <c r="K115" i="3" s="1"/>
  <c r="G115" i="2"/>
  <c r="E116" i="2"/>
  <c r="F115" i="2"/>
  <c r="H115" i="2" s="1"/>
  <c r="G113" i="4" l="1"/>
  <c r="F113" i="4"/>
  <c r="H113" i="4" s="1"/>
  <c r="E114" i="4"/>
  <c r="E118" i="3"/>
  <c r="E117" i="3"/>
  <c r="F116" i="3"/>
  <c r="H116" i="3" s="1"/>
  <c r="G116" i="3"/>
  <c r="G116" i="2"/>
  <c r="F116" i="2"/>
  <c r="H116" i="2" s="1"/>
  <c r="E117" i="2"/>
  <c r="E117" i="4" l="1"/>
  <c r="G114" i="4"/>
  <c r="E116" i="4"/>
  <c r="F114" i="4"/>
  <c r="H114" i="4" s="1"/>
  <c r="G117" i="3"/>
  <c r="E119" i="3"/>
  <c r="F117" i="3"/>
  <c r="H117" i="3" s="1"/>
  <c r="G118" i="3"/>
  <c r="E120" i="3"/>
  <c r="F118" i="3"/>
  <c r="H118" i="3" s="1"/>
  <c r="G117" i="2"/>
  <c r="E119" i="2"/>
  <c r="F117" i="2"/>
  <c r="H117" i="2" s="1"/>
  <c r="F116" i="4" l="1"/>
  <c r="H116" i="4" s="1"/>
  <c r="G116" i="4"/>
  <c r="E118" i="4"/>
  <c r="F117" i="4"/>
  <c r="H117" i="4" s="1"/>
  <c r="G117" i="4"/>
  <c r="G119" i="3"/>
  <c r="E121" i="3"/>
  <c r="F119" i="3"/>
  <c r="H119" i="3" s="1"/>
  <c r="G120" i="3"/>
  <c r="F120" i="3"/>
  <c r="H120" i="3" s="1"/>
  <c r="E122" i="3"/>
  <c r="E120" i="2"/>
  <c r="F119" i="2"/>
  <c r="H119" i="2" s="1"/>
  <c r="G119" i="2"/>
  <c r="E119" i="4" l="1"/>
  <c r="G118" i="4"/>
  <c r="F118" i="4"/>
  <c r="H118" i="4" s="1"/>
  <c r="G122" i="3"/>
  <c r="F122" i="3"/>
  <c r="H122" i="3" s="1"/>
  <c r="E124" i="3"/>
  <c r="G121" i="3"/>
  <c r="F121" i="3"/>
  <c r="H121" i="3" s="1"/>
  <c r="E123" i="3"/>
  <c r="E121" i="2"/>
  <c r="F120" i="2"/>
  <c r="H120" i="2" s="1"/>
  <c r="G120" i="2"/>
  <c r="E120" i="4" l="1"/>
  <c r="G119" i="4"/>
  <c r="F119" i="4"/>
  <c r="H119" i="4" s="1"/>
  <c r="E126" i="3"/>
  <c r="G124" i="3"/>
  <c r="F124" i="3"/>
  <c r="H124" i="3" s="1"/>
  <c r="G123" i="3"/>
  <c r="E125" i="3"/>
  <c r="F123" i="3"/>
  <c r="H123" i="3" s="1"/>
  <c r="F121" i="2"/>
  <c r="H121" i="2" s="1"/>
  <c r="G121" i="2"/>
  <c r="E122" i="2"/>
  <c r="G120" i="4" l="1"/>
  <c r="F120" i="4"/>
  <c r="H120" i="4" s="1"/>
  <c r="E121" i="4"/>
  <c r="G125" i="3"/>
  <c r="E127" i="3"/>
  <c r="F125" i="3"/>
  <c r="H125" i="3" s="1"/>
  <c r="K125" i="3" s="1"/>
  <c r="L125" i="3" s="1"/>
  <c r="E128" i="3"/>
  <c r="F126" i="3"/>
  <c r="H126" i="3" s="1"/>
  <c r="G126" i="3"/>
  <c r="G122" i="2"/>
  <c r="E123" i="2"/>
  <c r="F122" i="2"/>
  <c r="H122" i="2" s="1"/>
  <c r="G121" i="4" l="1"/>
  <c r="F121" i="4"/>
  <c r="H121" i="4" s="1"/>
  <c r="E122" i="4"/>
  <c r="E129" i="3"/>
  <c r="F127" i="3"/>
  <c r="H127" i="3" s="1"/>
  <c r="G127" i="3"/>
  <c r="F128" i="3"/>
  <c r="H128" i="3" s="1"/>
  <c r="G128" i="3"/>
  <c r="E130" i="3"/>
  <c r="E124" i="2"/>
  <c r="G123" i="2"/>
  <c r="F123" i="2"/>
  <c r="H123" i="2" s="1"/>
  <c r="E143" i="3" l="1"/>
  <c r="G122" i="4"/>
  <c r="E123" i="4"/>
  <c r="F122" i="4"/>
  <c r="H122" i="4" s="1"/>
  <c r="G130" i="3"/>
  <c r="F130" i="3"/>
  <c r="G129" i="3"/>
  <c r="F129" i="3"/>
  <c r="H129" i="3" s="1"/>
  <c r="E125" i="2"/>
  <c r="G124" i="2"/>
  <c r="F124" i="2"/>
  <c r="H124" i="2" s="1"/>
  <c r="N339" i="3" l="1"/>
  <c r="F143" i="3"/>
  <c r="H130" i="3"/>
  <c r="G123" i="4"/>
  <c r="F123" i="4"/>
  <c r="H123" i="4" s="1"/>
  <c r="E124" i="4"/>
  <c r="G125" i="2"/>
  <c r="F125" i="2"/>
  <c r="H125" i="2" s="1"/>
  <c r="E126" i="2"/>
  <c r="M341" i="3" l="1"/>
  <c r="M342" i="3" s="1"/>
  <c r="E126" i="4"/>
  <c r="G124" i="4"/>
  <c r="E125" i="4"/>
  <c r="F124" i="4"/>
  <c r="H124" i="4" s="1"/>
  <c r="E127" i="2"/>
  <c r="G126" i="2"/>
  <c r="F126" i="2"/>
  <c r="H126" i="2" s="1"/>
  <c r="E128" i="4" l="1"/>
  <c r="G125" i="4"/>
  <c r="F125" i="4"/>
  <c r="H125" i="4" s="1"/>
  <c r="K125" i="4" s="1"/>
  <c r="M125" i="4" s="1"/>
  <c r="D351" i="4" s="1"/>
  <c r="G126" i="4"/>
  <c r="E127" i="4"/>
  <c r="F126" i="4"/>
  <c r="H126" i="4" s="1"/>
  <c r="E129" i="2"/>
  <c r="G127" i="2"/>
  <c r="F127" i="2"/>
  <c r="H127" i="2" s="1"/>
  <c r="F127" i="4" l="1"/>
  <c r="H127" i="4" s="1"/>
  <c r="G127" i="4"/>
  <c r="E129" i="4"/>
  <c r="F128" i="4"/>
  <c r="H128" i="4" s="1"/>
  <c r="G128" i="4"/>
  <c r="E130" i="2"/>
  <c r="E145" i="2" s="1"/>
  <c r="G129" i="2"/>
  <c r="F129" i="2"/>
  <c r="H129" i="2" s="1"/>
  <c r="F129" i="4" l="1"/>
  <c r="H129" i="4" s="1"/>
  <c r="G129" i="4"/>
  <c r="E130" i="4"/>
  <c r="E143" i="4" s="1"/>
  <c r="F130" i="2"/>
  <c r="G130" i="2"/>
  <c r="P350" i="4" l="1"/>
  <c r="H130" i="2"/>
  <c r="F145" i="2"/>
  <c r="G130" i="4"/>
  <c r="F130" i="4"/>
  <c r="BH356" i="4" l="1"/>
  <c r="BF353" i="4"/>
  <c r="BF354" i="4" s="1"/>
  <c r="O352" i="4"/>
  <c r="O353" i="4" s="1"/>
  <c r="H130" i="4"/>
  <c r="F143" i="4"/>
  <c r="D97" i="2"/>
  <c r="D97" i="1" l="1"/>
  <c r="D41" i="1"/>
  <c r="D482" i="1"/>
  <c r="D481" i="1"/>
  <c r="D480" i="1"/>
  <c r="D479" i="1"/>
  <c r="D478" i="1"/>
  <c r="C473" i="1"/>
  <c r="C474" i="1" s="1"/>
  <c r="C475" i="1" s="1"/>
  <c r="C476" i="1" s="1"/>
  <c r="C477" i="1" s="1"/>
  <c r="D469" i="1"/>
  <c r="D468" i="1"/>
  <c r="BF469" i="1" l="1"/>
  <c r="BG477" i="1"/>
  <c r="O468" i="1"/>
  <c r="BG469" i="1" l="1"/>
  <c r="D430" i="1"/>
  <c r="D432" i="1" s="1"/>
  <c r="D287" i="1" l="1"/>
  <c r="D288" i="1"/>
  <c r="E200" i="1" l="1"/>
  <c r="E155" i="1"/>
  <c r="E135" i="1"/>
  <c r="D210" i="5" l="1"/>
  <c r="D200" i="5"/>
  <c r="D199" i="5"/>
  <c r="D202" i="5" s="1"/>
  <c r="D203" i="5" s="1"/>
  <c r="D187" i="5"/>
  <c r="D186" i="5"/>
  <c r="D189" i="5" s="1"/>
  <c r="D190" i="5" s="1"/>
  <c r="D174" i="5"/>
  <c r="D173" i="5"/>
  <c r="D176" i="5" s="1"/>
  <c r="D188" i="5" l="1"/>
  <c r="D201" i="5"/>
  <c r="D175" i="5"/>
  <c r="D177" i="5"/>
  <c r="W357" i="1" l="1"/>
  <c r="U355" i="1"/>
  <c r="D316" i="1" l="1"/>
  <c r="D315" i="1"/>
  <c r="D290" i="1"/>
  <c r="D291" i="1" s="1"/>
  <c r="D318" i="1" l="1"/>
  <c r="V365" i="1"/>
  <c r="D377" i="1" l="1"/>
  <c r="D376" i="1"/>
  <c r="D363" i="1" l="1"/>
  <c r="D362" i="1"/>
  <c r="D365" i="1" l="1"/>
  <c r="W365" i="1"/>
  <c r="D331" i="1"/>
  <c r="D330" i="1"/>
  <c r="D333" i="1" s="1"/>
  <c r="D334" i="1" s="1"/>
  <c r="D271" i="1"/>
  <c r="D302" i="1" s="1"/>
  <c r="D270" i="1"/>
  <c r="D253" i="1"/>
  <c r="T333" i="1"/>
  <c r="D251" i="1"/>
  <c r="D250" i="1"/>
  <c r="U365" i="1" s="1"/>
  <c r="D249" i="1"/>
  <c r="X365" i="1" l="1"/>
  <c r="W354" i="1"/>
  <c r="W359" i="1" s="1"/>
  <c r="U359" i="1"/>
  <c r="U360" i="1" s="1"/>
  <c r="U334" i="1"/>
  <c r="D273" i="1"/>
  <c r="D274" i="1" s="1"/>
  <c r="J274" i="1" s="1"/>
  <c r="D301" i="1"/>
  <c r="D306" i="1" s="1"/>
  <c r="K274" i="1"/>
  <c r="L274" i="1" l="1"/>
  <c r="K226" i="1"/>
  <c r="D215" i="1"/>
  <c r="F215" i="1" s="1"/>
  <c r="D214" i="1"/>
  <c r="E214" i="1" s="1"/>
  <c r="D141" i="1" l="1"/>
  <c r="E141" i="1" s="1"/>
  <c r="M200" i="1"/>
  <c r="N200" i="1" s="1"/>
  <c r="D201" i="1" s="1"/>
  <c r="F201" i="1" s="1"/>
  <c r="D148" i="1"/>
  <c r="E148" i="1" s="1"/>
  <c r="E216" i="1" s="1"/>
  <c r="D136" i="1" l="1"/>
  <c r="F136" i="1" s="1"/>
  <c r="D142" i="1" l="1"/>
  <c r="F142" i="1" s="1"/>
  <c r="D149" i="1" l="1"/>
  <c r="F149" i="1" s="1"/>
  <c r="D156" i="1" l="1"/>
  <c r="F156" i="1" s="1"/>
  <c r="F216" i="1" s="1"/>
  <c r="B296" i="2" l="1"/>
  <c r="B295" i="2"/>
  <c r="B294" i="2"/>
  <c r="B293" i="2"/>
  <c r="K135" i="1" l="1"/>
  <c r="M135" i="1" s="1"/>
  <c r="N26" i="2" l="1"/>
  <c r="L226" i="1" l="1"/>
  <c r="M220" i="1"/>
  <c r="N220" i="1" s="1"/>
  <c r="M214" i="1"/>
  <c r="N214" i="1" s="1"/>
  <c r="M206" i="1"/>
  <c r="N206" i="1" s="1"/>
  <c r="M148" i="1"/>
  <c r="N148" i="1" s="1"/>
  <c r="M155" i="1"/>
  <c r="N155" i="1" s="1"/>
  <c r="M141" i="1"/>
  <c r="N141" i="1" s="1"/>
  <c r="K26" i="1"/>
  <c r="N222" i="1" l="1"/>
  <c r="D428" i="1"/>
  <c r="D427" i="1"/>
  <c r="D426" i="1"/>
  <c r="D425" i="1"/>
  <c r="D395" i="1"/>
  <c r="K375" i="1" l="1"/>
  <c r="D378" i="1" l="1"/>
  <c r="D303" i="1"/>
  <c r="D364" i="1"/>
  <c r="D332" i="1"/>
  <c r="D272" i="1" l="1"/>
  <c r="D254" i="2" l="1"/>
  <c r="D429" i="1"/>
  <c r="B428" i="1"/>
  <c r="B427" i="1"/>
  <c r="B426" i="1"/>
  <c r="B425" i="1"/>
  <c r="D424" i="1"/>
  <c r="D386" i="1"/>
  <c r="D379" i="1"/>
  <c r="D380" i="1" s="1"/>
  <c r="D366" i="1"/>
  <c r="D304" i="1"/>
  <c r="D305" i="1" s="1"/>
  <c r="B226" i="1"/>
  <c r="Y334" i="1" l="1"/>
  <c r="Z334" i="1" s="1"/>
  <c r="D319" i="1"/>
  <c r="D462" i="1" l="1"/>
  <c r="D461" i="1"/>
  <c r="D458" i="1" l="1"/>
  <c r="BF476" i="1" l="1"/>
  <c r="BF477" i="1" s="1"/>
  <c r="D129" i="5" l="1"/>
  <c r="D139" i="2"/>
  <c r="D351" i="2"/>
  <c r="D210" i="1" l="1"/>
  <c r="D485" i="1"/>
  <c r="D362" i="4" l="1"/>
  <c r="D272" i="5" l="1"/>
  <c r="D137" i="4" l="1"/>
  <c r="D137" i="3"/>
  <c r="D354" i="3"/>
  <c r="D124" i="6" l="1"/>
  <c r="D23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D128" authorId="0" shapeId="0" xr:uid="{979146F3-4979-48AF-9E89-9F1CA0DD480B}">
      <text>
        <r>
          <rPr>
            <b/>
            <sz val="9"/>
            <color indexed="81"/>
            <rFont val="Tahoma"/>
            <family val="2"/>
            <charset val="204"/>
          </rPr>
          <t>убрать план уборка снега 800тыс. В год</t>
        </r>
      </text>
    </comment>
    <comment ref="D129" authorId="0" shapeId="0" xr:uid="{82063E7A-99D5-4C8D-839E-8A2692E6729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убрать  кошение газона  план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D129" authorId="0" shapeId="0" xr:uid="{D38BF0D3-1E0C-4B27-A940-E70050CE52F4}">
      <text>
        <r>
          <rPr>
            <b/>
            <sz val="9"/>
            <color indexed="81"/>
            <rFont val="Tahoma"/>
            <family val="2"/>
            <charset val="204"/>
          </rPr>
          <t>убрать план уборка снега 800тыс. В год</t>
        </r>
      </text>
    </comment>
    <comment ref="D130" authorId="0" shapeId="0" xr:uid="{FC953329-33C9-4AB4-A120-20CADCF73D4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убрать  кошение газона  план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D126" authorId="0" shapeId="0" xr:uid="{E3088419-4216-4018-AC11-E3D63316F43E}">
      <text>
        <r>
          <rPr>
            <b/>
            <sz val="9"/>
            <color indexed="81"/>
            <rFont val="Tahoma"/>
            <family val="2"/>
            <charset val="204"/>
          </rPr>
          <t>убрать план уборка снега 800тыс. В год</t>
        </r>
      </text>
    </comment>
    <comment ref="D127" authorId="0" shapeId="0" xr:uid="{D26AF15D-062A-4E1F-9413-35BC543D4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убрать  кошение газона  план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D126" authorId="0" shapeId="0" xr:uid="{66D5CA8C-E821-4ECD-944C-3C4321E0CC6F}">
      <text>
        <r>
          <rPr>
            <b/>
            <sz val="9"/>
            <color indexed="81"/>
            <rFont val="Tahoma"/>
            <family val="2"/>
            <charset val="204"/>
          </rPr>
          <t>убрать план уборка снега 800тыс. В год</t>
        </r>
      </text>
    </comment>
    <comment ref="D127" authorId="0" shapeId="0" xr:uid="{CBAD1EFB-CF19-4B94-85DC-A85FE5F501E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убрать  кошение газона  план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D117" authorId="0" shapeId="0" xr:uid="{8B3FDFA1-568C-4D47-B0C6-347EC0EC6460}">
      <text>
        <r>
          <rPr>
            <b/>
            <sz val="9"/>
            <color indexed="81"/>
            <rFont val="Tahoma"/>
            <family val="2"/>
            <charset val="204"/>
          </rPr>
          <t>убрать план уборка снега 800тыс. В год</t>
        </r>
      </text>
    </comment>
    <comment ref="D118" authorId="0" shapeId="0" xr:uid="{6604E35F-EEC3-44AA-AE18-F200998EFD2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убрать  кошение газона  план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  <author>Автор</author>
  </authors>
  <commentList>
    <comment ref="E88" authorId="0" shapeId="0" xr:uid="{9E0ADACC-8E7D-4FAA-9E74-DAE2456299CA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по реестру 2384,4</t>
        </r>
      </text>
    </comment>
    <comment ref="D112" authorId="1" shapeId="0" xr:uid="{DE0AD5D3-3978-4D9F-B765-FC8CE93E54E7}">
      <text>
        <r>
          <rPr>
            <b/>
            <sz val="9"/>
            <color indexed="81"/>
            <rFont val="Tahoma"/>
            <family val="2"/>
            <charset val="204"/>
          </rPr>
          <t>убрать план уборка снега 800тыс. В год</t>
        </r>
      </text>
    </comment>
    <comment ref="D113" authorId="1" shapeId="0" xr:uid="{E8DB2DBA-7425-41BF-B25E-63C29BB66B6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убрать  кошение газона  план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  <author>Автор</author>
  </authors>
  <commentList>
    <comment ref="E95" authorId="0" shapeId="0" xr:uid="{F93A9134-2F92-49E2-B154-13711B0FA17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по реестру 2384,4</t>
        </r>
      </text>
    </comment>
    <comment ref="D119" authorId="1" shapeId="0" xr:uid="{6FB88A70-A561-4390-B714-5A8D0A391FEC}">
      <text>
        <r>
          <rPr>
            <b/>
            <sz val="9"/>
            <color indexed="81"/>
            <rFont val="Tahoma"/>
            <family val="2"/>
            <charset val="204"/>
          </rPr>
          <t>убрать план уборка снега 800тыс. В год</t>
        </r>
      </text>
    </comment>
    <comment ref="D120" authorId="1" shapeId="0" xr:uid="{E4B20AE4-FFBC-4479-B152-D09A908A7DB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убрать  кошение газона  план </t>
        </r>
      </text>
    </comment>
  </commentList>
</comments>
</file>

<file path=xl/sharedStrings.xml><?xml version="1.0" encoding="utf-8"?>
<sst xmlns="http://schemas.openxmlformats.org/spreadsheetml/2006/main" count="5965" uniqueCount="531">
  <si>
    <t>№</t>
  </si>
  <si>
    <t>п/п</t>
  </si>
  <si>
    <t>Наименование параметра</t>
  </si>
  <si>
    <t>Ед. изм.</t>
  </si>
  <si>
    <t>Значение</t>
  </si>
  <si>
    <t>1.</t>
  </si>
  <si>
    <t>Дата заполнения/внесения изменений</t>
  </si>
  <si>
    <t>-</t>
  </si>
  <si>
    <t>Сведения о способе управления многоквартирным домом</t>
  </si>
  <si>
    <t>2.</t>
  </si>
  <si>
    <t>Документ, подтверждающий выбранный способ управления (протокол общего собрания собственников (членов кооператива))</t>
  </si>
  <si>
    <t>Протокол №б/н от21.09.2015</t>
  </si>
  <si>
    <t>3.</t>
  </si>
  <si>
    <t>Договор управления</t>
  </si>
  <si>
    <t>Сведения о способе формирования фонда капитального ремонта</t>
  </si>
  <si>
    <t>4.</t>
  </si>
  <si>
    <t>Способ формирования фонда капитального ремонта</t>
  </si>
  <si>
    <t>Общая характеристика многоквартирного дома</t>
  </si>
  <si>
    <t>5.</t>
  </si>
  <si>
    <t>Адрес многоквартирного дома</t>
  </si>
  <si>
    <t>Космонавта Беляева,40б</t>
  </si>
  <si>
    <t>6.</t>
  </si>
  <si>
    <t>Год постройки / Год ввода дома в эксплуатацию</t>
  </si>
  <si>
    <t>7.</t>
  </si>
  <si>
    <t>Серия, тип постройки здания</t>
  </si>
  <si>
    <t>Без серии</t>
  </si>
  <si>
    <t>8.</t>
  </si>
  <si>
    <t>Тип дома</t>
  </si>
  <si>
    <t>Индивидуальный</t>
  </si>
  <si>
    <t>9.</t>
  </si>
  <si>
    <t>Количество этажей:</t>
  </si>
  <si>
    <t>10.</t>
  </si>
  <si>
    <t>- наибольшее</t>
  </si>
  <si>
    <t>ед.</t>
  </si>
  <si>
    <t>11.</t>
  </si>
  <si>
    <t>- наименьшее</t>
  </si>
  <si>
    <t>12.</t>
  </si>
  <si>
    <t>Количество подъездов</t>
  </si>
  <si>
    <t>13.</t>
  </si>
  <si>
    <t>Количество лифтов</t>
  </si>
  <si>
    <t>14.</t>
  </si>
  <si>
    <t>Количество помещений:</t>
  </si>
  <si>
    <t>15.</t>
  </si>
  <si>
    <t>- жилых</t>
  </si>
  <si>
    <t>16.</t>
  </si>
  <si>
    <t>- нежилых</t>
  </si>
  <si>
    <t>17.</t>
  </si>
  <si>
    <t>Общая площадь дома, в том числе:</t>
  </si>
  <si>
    <t>кв. м</t>
  </si>
  <si>
    <t>18.</t>
  </si>
  <si>
    <t>- общая площадь жилых помещений</t>
  </si>
  <si>
    <t>19.</t>
  </si>
  <si>
    <t>- общая площадь нежилых помещений</t>
  </si>
  <si>
    <t>20.</t>
  </si>
  <si>
    <t>- общая площадь помещений, входящих в состав общего имущества</t>
  </si>
  <si>
    <t>21.</t>
  </si>
  <si>
    <t>Кадастровый номер земельного участка, на котором расположен дом</t>
  </si>
  <si>
    <t>22.</t>
  </si>
  <si>
    <t>Площадь земельного участка, входящего в состав общего имущества в многоквартирном доме</t>
  </si>
  <si>
    <t>23.</t>
  </si>
  <si>
    <t>Площадь парковки в границах земельного участка</t>
  </si>
  <si>
    <t>24.</t>
  </si>
  <si>
    <t>Факт признания дома аварийным</t>
  </si>
  <si>
    <t>Не признан</t>
  </si>
  <si>
    <t>Элементы благоустройства</t>
  </si>
  <si>
    <t>25.</t>
  </si>
  <si>
    <t>Детская площадка</t>
  </si>
  <si>
    <t>Есть</t>
  </si>
  <si>
    <t>26.</t>
  </si>
  <si>
    <t>Спортивная площадка</t>
  </si>
  <si>
    <t>27.</t>
  </si>
  <si>
    <t>Сведения об основных конструктивных элементах многоквартирного дома, оборудовании и системах инженерно-технического обеспечения, входящих в состав общего имущества в многоквартирном доме</t>
  </si>
  <si>
    <t>Фундамент</t>
  </si>
  <si>
    <t>Тип фундамента</t>
  </si>
  <si>
    <t xml:space="preserve">   Свайный</t>
  </si>
  <si>
    <t>Стены и перекрытия</t>
  </si>
  <si>
    <t>Тип перекрытий</t>
  </si>
  <si>
    <t>Железобетонные</t>
  </si>
  <si>
    <t>Материал несущих стен</t>
  </si>
  <si>
    <t>монолитные</t>
  </si>
  <si>
    <t>Фасады (заполняется по каждому типу фасада)</t>
  </si>
  <si>
    <t>Тип фасада</t>
  </si>
  <si>
    <t>Вентилируемый фасад</t>
  </si>
  <si>
    <t>Крыши (заполняется по каждому типу крыши)</t>
  </si>
  <si>
    <t>Тип крыши</t>
  </si>
  <si>
    <t>Плоская</t>
  </si>
  <si>
    <r>
      <t xml:space="preserve">Тип кровли </t>
    </r>
    <r>
      <rPr>
        <i/>
        <sz val="9.5"/>
        <color rgb="FF000000"/>
        <rFont val="Times New Roman"/>
        <family val="1"/>
        <charset val="204"/>
      </rPr>
      <t>(мягкая, наплавляемая)</t>
    </r>
  </si>
  <si>
    <t>Рулонная</t>
  </si>
  <si>
    <t>Подвалы</t>
  </si>
  <si>
    <t>Площадь подвала по полу</t>
  </si>
  <si>
    <t>Мусоропроводы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</si>
  <si>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</si>
  <si>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</si>
  <si>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</si>
  <si>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подъезда</t>
  </si>
  <si>
    <t>Тип лифта</t>
  </si>
  <si>
    <t>Пассажирский</t>
  </si>
  <si>
    <t>Год ввода в эксплуатацию</t>
  </si>
  <si>
    <t>Грузопассажирский</t>
  </si>
  <si>
    <t>Общедомовые приборы учета (заполняется для каждого прибора учета)</t>
  </si>
  <si>
    <t xml:space="preserve">Вид коммунального ресурса  </t>
  </si>
  <si>
    <t>Тепло</t>
  </si>
  <si>
    <r>
      <t xml:space="preserve">Наличие прибора учета    </t>
    </r>
    <r>
      <rPr>
        <i/>
        <sz val="9.5"/>
        <color rgb="FF000000"/>
        <rFont val="Times New Roman"/>
        <family val="1"/>
        <charset val="204"/>
      </rPr>
      <t>(установлен</t>
    </r>
    <r>
      <rPr>
        <sz val="9.5"/>
        <color rgb="FF000000"/>
        <rFont val="Times New Roman"/>
        <family val="1"/>
        <charset val="204"/>
      </rPr>
      <t>)</t>
    </r>
  </si>
  <si>
    <t>установлен</t>
  </si>
  <si>
    <t>Тип прибора учета</t>
  </si>
  <si>
    <t>ТСРВ-034</t>
  </si>
  <si>
    <t>Единица измерения</t>
  </si>
  <si>
    <t>Гкал</t>
  </si>
  <si>
    <t>Дата ввода в эксплуатацию</t>
  </si>
  <si>
    <t>Дата поверки / замены прибора учета</t>
  </si>
  <si>
    <t xml:space="preserve">Вид коммунального ресурса    </t>
  </si>
  <si>
    <t>водоснабжение</t>
  </si>
  <si>
    <r>
      <t xml:space="preserve">Наличие прибора учета            </t>
    </r>
    <r>
      <rPr>
        <i/>
        <sz val="9.5"/>
        <color rgb="FF000000"/>
        <rFont val="Times New Roman"/>
        <family val="1"/>
        <charset val="204"/>
      </rPr>
      <t>(установлен</t>
    </r>
    <r>
      <rPr>
        <sz val="9.5"/>
        <color rgb="FF000000"/>
        <rFont val="Times New Roman"/>
        <family val="1"/>
        <charset val="204"/>
      </rPr>
      <t>)</t>
    </r>
  </si>
  <si>
    <t>Установлен</t>
  </si>
  <si>
    <t>ВМХ 65</t>
  </si>
  <si>
    <t>Куб.м.</t>
  </si>
  <si>
    <t>Электричество</t>
  </si>
  <si>
    <t>28.</t>
  </si>
  <si>
    <t>СЭ-2206/2207</t>
  </si>
  <si>
    <t>29.</t>
  </si>
  <si>
    <t>КВтч</t>
  </si>
  <si>
    <t>30.</t>
  </si>
  <si>
    <t>31.</t>
  </si>
  <si>
    <t>1 квартал 2030</t>
  </si>
  <si>
    <t>Система теплоснабжения</t>
  </si>
  <si>
    <t>Тип системы теплоснабжения</t>
  </si>
  <si>
    <t>Централизованная</t>
  </si>
  <si>
    <t>Система горячего водоснабжения</t>
  </si>
  <si>
    <t>32.</t>
  </si>
  <si>
    <t xml:space="preserve">Тип системы горячего водоснабжения  </t>
  </si>
  <si>
    <t xml:space="preserve">  Индивидуальный тепловой пункт</t>
  </si>
  <si>
    <t>Система холодного водоснабжения</t>
  </si>
  <si>
    <t>33.</t>
  </si>
  <si>
    <t>Тип системы холодного водоснабжения</t>
  </si>
  <si>
    <t xml:space="preserve"> централизованная  </t>
  </si>
  <si>
    <t>Система водоотведения</t>
  </si>
  <si>
    <t>34.</t>
  </si>
  <si>
    <t>Тип системы водоотведения</t>
  </si>
  <si>
    <t xml:space="preserve">  централизованная </t>
  </si>
  <si>
    <t>Система вентиляции</t>
  </si>
  <si>
    <t>Стоимость на единицу измерения</t>
  </si>
  <si>
    <t>руб.</t>
  </si>
  <si>
    <t xml:space="preserve">Годовая стоимость </t>
  </si>
  <si>
    <t>Руб.</t>
  </si>
  <si>
    <t>Дата начала действия установленного размера стоимости работы (услуги)</t>
  </si>
  <si>
    <t>Основание установления стоимости работы (услуги)</t>
  </si>
  <si>
    <t>ежедневно</t>
  </si>
  <si>
    <t>Годовая стоимость</t>
  </si>
  <si>
    <t xml:space="preserve">Периодичность предоставления работы (услуги)      </t>
  </si>
  <si>
    <t xml:space="preserve">Наименование работы (услуги) </t>
  </si>
  <si>
    <t>По графику</t>
  </si>
  <si>
    <t>Обслуживание дымоходов и вентиляционных шахт</t>
  </si>
  <si>
    <t>Обслуживание систем дымоудаления, пожаротушения, АПС, СОУЭ</t>
  </si>
  <si>
    <t>Обслуживание лифтового хозяйства</t>
  </si>
  <si>
    <t xml:space="preserve">Единица измерения                      </t>
  </si>
  <si>
    <t>Ежедневно</t>
  </si>
  <si>
    <t xml:space="preserve">Обслуживание общедомовых приборов учета </t>
  </si>
  <si>
    <t xml:space="preserve">Коммунальные ресурсы на содержание общего имущества </t>
  </si>
  <si>
    <t>Руб.*кв.м.</t>
  </si>
  <si>
    <t>4.1.</t>
  </si>
  <si>
    <t>4.2.</t>
  </si>
  <si>
    <t>Холодная вода</t>
  </si>
  <si>
    <t>4.3.</t>
  </si>
  <si>
    <t>Электроэнергия</t>
  </si>
  <si>
    <t>4.4.</t>
  </si>
  <si>
    <t>Водоотведение</t>
  </si>
  <si>
    <t>5.1.</t>
  </si>
  <si>
    <t>5.2.</t>
  </si>
  <si>
    <t>5.3.</t>
  </si>
  <si>
    <t>5.4.</t>
  </si>
  <si>
    <r>
      <t xml:space="preserve">Вид коммунальной услуги   </t>
    </r>
    <r>
      <rPr>
        <i/>
        <sz val="9.5"/>
        <color rgb="FF000000"/>
        <rFont val="Times New Roman"/>
        <family val="1"/>
        <charset val="204"/>
      </rPr>
      <t>(Холодное  водоснабжение)</t>
    </r>
  </si>
  <si>
    <t>ХВС</t>
  </si>
  <si>
    <t>Тариф, установленный для потребителей</t>
  </si>
  <si>
    <t>Лицо, осуществляющее поставку коммунального ресурса</t>
  </si>
  <si>
    <t>ООО «НОВОГОР-Прикамье»</t>
  </si>
  <si>
    <t>Нормативный правовой акт, устанавливающий тариф (дата, номер, наименование принявшего акт органа)</t>
  </si>
  <si>
    <t>Дата начала действия тарифа</t>
  </si>
  <si>
    <t>01.01.2019/01.07.2019</t>
  </si>
  <si>
    <t xml:space="preserve">Потрачено за год </t>
  </si>
  <si>
    <t>Куб.м</t>
  </si>
  <si>
    <t xml:space="preserve">Начислено потребителям </t>
  </si>
  <si>
    <t>Оплачено потребителями</t>
  </si>
  <si>
    <t xml:space="preserve">Задолженность потребителей </t>
  </si>
  <si>
    <t>Начислено поставщиком</t>
  </si>
  <si>
    <t>Оплачено поставщику</t>
  </si>
  <si>
    <r>
      <t>Вид коммунальной услуги       (</t>
    </r>
    <r>
      <rPr>
        <i/>
        <sz val="9.5"/>
        <color rgb="FF000000"/>
        <rFont val="Times New Roman"/>
        <family val="1"/>
        <charset val="204"/>
      </rPr>
      <t>водоотведение)</t>
    </r>
  </si>
  <si>
    <t>Тариф, установленный для потребителей:</t>
  </si>
  <si>
    <t>21 702,88</t>
  </si>
  <si>
    <t>Задолженность потребителей</t>
  </si>
  <si>
    <r>
      <t xml:space="preserve">Вид коммунальной услуги   </t>
    </r>
    <r>
      <rPr>
        <i/>
        <sz val="9.5"/>
        <color rgb="FF000000"/>
        <rFont val="Times New Roman"/>
        <family val="1"/>
        <charset val="204"/>
      </rPr>
      <t>(Электроснабжение)</t>
    </r>
  </si>
  <si>
    <t>электроснабжение</t>
  </si>
  <si>
    <t>Квт*ч</t>
  </si>
  <si>
    <t>Тариф, установленный для потребителей (дневной/ночной):</t>
  </si>
  <si>
    <t>ОАО «Пермэнергосбыт»</t>
  </si>
  <si>
    <r>
      <t xml:space="preserve">Вид коммунальной услуги   </t>
    </r>
    <r>
      <rPr>
        <i/>
        <sz val="9.5"/>
        <color rgb="FF000000"/>
        <rFont val="Times New Roman"/>
        <family val="1"/>
        <charset val="204"/>
      </rPr>
      <t>(Подогрев воды)</t>
    </r>
  </si>
  <si>
    <t>Подогрев</t>
  </si>
  <si>
    <t>1891,80/1952,82</t>
  </si>
  <si>
    <t>Подогрев в ИТП здания</t>
  </si>
  <si>
    <t>ПРИКАЗ</t>
  </si>
  <si>
    <t> от 29 декабря 2017 года N СЭД-46-09-24-11</t>
  </si>
  <si>
    <t>882 100,76</t>
  </si>
  <si>
    <t>78 060,88</t>
  </si>
  <si>
    <r>
      <t xml:space="preserve">Вид коммунальной услуги   </t>
    </r>
    <r>
      <rPr>
        <i/>
        <sz val="9.5"/>
        <color rgb="FF000000"/>
        <rFont val="Times New Roman"/>
        <family val="1"/>
        <charset val="204"/>
      </rPr>
      <t>(отопление)</t>
    </r>
  </si>
  <si>
    <t>Отопление</t>
  </si>
  <si>
    <t>Постановление Региональной службы по тарифам Пермского края от 20.12.2018 № 360-т</t>
  </si>
  <si>
    <t>Сбор, транспортировка и захоронение твердых бытовых отходов</t>
  </si>
  <si>
    <t xml:space="preserve">Сведения об использовании общего имущества в многоквартирном доме </t>
  </si>
  <si>
    <t>Наименование объекта общего имущества</t>
  </si>
  <si>
    <t>Технический этаж</t>
  </si>
  <si>
    <t>2.1.</t>
  </si>
  <si>
    <t>Назначение объекта общего имущества</t>
  </si>
  <si>
    <t>Тех. помещение</t>
  </si>
  <si>
    <t>2.2.</t>
  </si>
  <si>
    <t>Наименование пользователя</t>
  </si>
  <si>
    <t>ОАО «ЭР Телеком Холдинг»</t>
  </si>
  <si>
    <t>2.3.</t>
  </si>
  <si>
    <t>Дата начала действия договора</t>
  </si>
  <si>
    <t>2.4.</t>
  </si>
  <si>
    <t>3.1.</t>
  </si>
  <si>
    <t>3.2.</t>
  </si>
  <si>
    <t>ПАО «Вымпел-Коммуникация»</t>
  </si>
  <si>
    <t>3.3.</t>
  </si>
  <si>
    <t>3.4.</t>
  </si>
  <si>
    <t>Холл первого этажа</t>
  </si>
  <si>
    <t>Место общего пользования</t>
  </si>
  <si>
    <t>ПАО «Ростелеком»»</t>
  </si>
  <si>
    <t>Сведения о капитальном ремонте общего имущества в многоквартирном доме</t>
  </si>
  <si>
    <t>Владелец специального счета</t>
  </si>
  <si>
    <t xml:space="preserve">Сведения о проведенных общих собраниях собственников помещений в многоквартирном доме </t>
  </si>
  <si>
    <t>Реквизиты протокола общего собрания собственников помещений (дата, номер)</t>
  </si>
  <si>
    <t>Протокол заочного собрания б/н                       от 08.02.2012</t>
  </si>
  <si>
    <t>Протокол заочного собрания б/н                       от 19.03.2012</t>
  </si>
  <si>
    <t>Протокол очного собрания б/н                       от 27.04.2012</t>
  </si>
  <si>
    <t>Протокол очного собрания б/н                       от 30.05.2012</t>
  </si>
  <si>
    <t>Протокол заочного собрания б/н                       от 14.06.2013</t>
  </si>
  <si>
    <t>Протокол заочного собрания б/н                       от 19.08.2014</t>
  </si>
  <si>
    <t>Протокол заочного собрания б/н                       от 21.09.2015</t>
  </si>
  <si>
    <t>Протокол заочного собрания б/н                       от 21.06.2016</t>
  </si>
  <si>
    <t xml:space="preserve">Отчет об исполнении управляющей организацией договора управления </t>
  </si>
  <si>
    <t>Дата начала отчетного периода</t>
  </si>
  <si>
    <t>Дата конца отчетного периода</t>
  </si>
  <si>
    <t>Общая информация о выполняемых работах (оказываемых услугах) по содержанию и текущему ремонту общего имущества</t>
  </si>
  <si>
    <t>Переходящие остатки денежных средств (на начало периода):</t>
  </si>
  <si>
    <t>- переплата потребителями</t>
  </si>
  <si>
    <t>- задолженность потребителей</t>
  </si>
  <si>
    <t>Начислено за работы (услуги) по содержанию и текущему ремонту, в том числе:</t>
  </si>
  <si>
    <t>Получено денежных средств, в т. ч:</t>
  </si>
  <si>
    <t>- денежных средств от потребителей</t>
  </si>
  <si>
    <t>- целевых взносов от потребителей</t>
  </si>
  <si>
    <t>- субсидий</t>
  </si>
  <si>
    <t>Всего денежных средств с учетом остатков</t>
  </si>
  <si>
    <t>Пени</t>
  </si>
  <si>
    <t>Кровля</t>
  </si>
  <si>
    <t>Информация о ведении претензионно-исковой работы в отношении потребителей-должников</t>
  </si>
  <si>
    <t>Направлено претензий потребителям-должникам</t>
  </si>
  <si>
    <t>Направлено исковых заявлений</t>
  </si>
  <si>
    <t>Получено денежных средств по результатам претензионно-исковой работы</t>
  </si>
  <si>
    <t>Специальный счет МКД</t>
  </si>
  <si>
    <t>Основной исполнитель работ</t>
  </si>
  <si>
    <t>Количество парковочных мест (нижняя парковка)</t>
  </si>
  <si>
    <t>Персонал УК, сторонние подрядчики</t>
  </si>
  <si>
    <t>Работы по содержанию земельного участка, на котором расположен многоквартирный дом, с элементами озеленения и благоустройства, иными объектами, предназначенными для обслуживания и эксплуатации этого дома (далее - придомовая территория)</t>
  </si>
  <si>
    <t>Размер платы за работы, необходимые для надлежащего содержания оборудования и систем инженерно-технического обеспечения, входящих в состав общего имущества в многоквартирном доме</t>
  </si>
  <si>
    <t>Размер платы за работы и услуги по содержанию иного общего
имущества в многоквартирном доме, в том числе клининг</t>
  </si>
  <si>
    <t>Утвержденный норматив на  коммунальные услуги:</t>
  </si>
  <si>
    <t>Расходы на оплату труда и отчисления на социальные нужды работников, занятых управлением многоквартирным домом, и прочие управленческие расходы</t>
  </si>
  <si>
    <t>Коммунальные ресурсы индивидуального потребления</t>
  </si>
  <si>
    <t>с 01.12.2022 по 31.12.2023</t>
  </si>
  <si>
    <r>
      <t>Вид коммунальной услуги       (</t>
    </r>
    <r>
      <rPr>
        <i/>
        <sz val="9.5"/>
        <color rgb="FF000000"/>
        <rFont val="Times New Roman"/>
        <family val="1"/>
        <charset val="204"/>
      </rPr>
      <t>ГВС</t>
    </r>
    <r>
      <rPr>
        <sz val="9.5"/>
        <color rgb="FF000000"/>
        <rFont val="Times New Roman"/>
        <family val="1"/>
        <charset val="204"/>
      </rPr>
      <t>)</t>
    </r>
  </si>
  <si>
    <t>руб./ за 1 проживающего</t>
  </si>
  <si>
    <t>ПЕРМСКИЙ РЕГИОНАЛЬНЫЙ ОПЕРАТОР ТКО АО "ПРО ТКО" (ПКГУП "ТЕПЛОЭНЕРГО")</t>
  </si>
  <si>
    <t>Услуги обеспечения контроля доступа</t>
  </si>
  <si>
    <t>персонал УК</t>
  </si>
  <si>
    <t>по факту</t>
  </si>
  <si>
    <t>Стоимость по договору в год</t>
  </si>
  <si>
    <t xml:space="preserve"> ИП Вяткин (ООО «Новые технологии»)</t>
  </si>
  <si>
    <t>1.1.</t>
  </si>
  <si>
    <t>1.2.</t>
  </si>
  <si>
    <t>1.3.</t>
  </si>
  <si>
    <t>1.4.</t>
  </si>
  <si>
    <t>ООО Ин групп</t>
  </si>
  <si>
    <t>ООО "УК "А-Элита"</t>
  </si>
  <si>
    <t xml:space="preserve"> - за содержание дома, и территории</t>
  </si>
  <si>
    <t xml:space="preserve"> - за текущий ремонт, приложение №1</t>
  </si>
  <si>
    <t>Протокол №б/н от 02.11.2015</t>
  </si>
  <si>
    <t>Космонавта Беляева,40в</t>
  </si>
  <si>
    <t>59:01:4410872:519</t>
  </si>
  <si>
    <t>Космонавта Беляева,40г</t>
  </si>
  <si>
    <t>59:01:4410872:518</t>
  </si>
  <si>
    <t xml:space="preserve"> -коммунальные услуги  индивидуального потребления</t>
  </si>
  <si>
    <t xml:space="preserve"> -расходы на содержание ОИ МКД</t>
  </si>
  <si>
    <t>Космонавта Беляева,40д</t>
  </si>
  <si>
    <t>Протокол №б/н от 21.09.2015</t>
  </si>
  <si>
    <t>59:01:4410872:517</t>
  </si>
  <si>
    <t>Размер платы за работы, необходимые для надлежащего содержания несущих конструкций (фундаментов, стен, фасадов, колон и столбов, перекрытий, балок, ригелей, лестниц, несущих элементов крыш) и не несущих конструкций МКД</t>
  </si>
  <si>
    <t xml:space="preserve">ИП Гусев; ООО "ТЦ ПСБ"; ИП Морилова;ИП Головкова;ООО Лифт Индустрия;ООО Альфа лифт контроль, персонал УК </t>
  </si>
  <si>
    <t>Корректировка расхода на СОИ, электроэнергия за 2023г.</t>
  </si>
  <si>
    <t>руб./ 1 лицевой счет</t>
  </si>
  <si>
    <t>руб./ 1 маш. Место</t>
  </si>
  <si>
    <t>Сведения о фонде капитального ремонта многоквартирного дома</t>
  </si>
  <si>
    <t xml:space="preserve"> -услуги управляющей организации</t>
  </si>
  <si>
    <t>Переходящие остатки денежных средств (на конец периода): текущий ремонт</t>
  </si>
  <si>
    <t>Текущий ремонт общедомового имущества МКД</t>
  </si>
  <si>
    <t>Квтч</t>
  </si>
  <si>
    <t>приложение отчету №1</t>
  </si>
  <si>
    <t>Организация накопления отходов I - IV классов опасности (отработанных ртутьсодержащих ламп и др.) и их передача в организации, имеющие лицензии на осуществление деятельности по сбору, транспортированию, обработке, утилизации, обезвреживанию, размещению таких отходов.</t>
  </si>
  <si>
    <t>Региональный оператор</t>
  </si>
  <si>
    <t>Персонал Ук, ИП Костырева</t>
  </si>
  <si>
    <t>руб./м2</t>
  </si>
  <si>
    <t>руб./м3</t>
  </si>
  <si>
    <t>руб./м4</t>
  </si>
  <si>
    <t>руб./м5</t>
  </si>
  <si>
    <t>Значение/план</t>
  </si>
  <si>
    <t>01.07.23/01.07.24</t>
  </si>
  <si>
    <t xml:space="preserve">Министерства тарифного регулирования и энергетики Пермского края </t>
  </si>
  <si>
    <t xml:space="preserve">Постановление Министерства тарифного регулирования и энергетики Пермского края </t>
  </si>
  <si>
    <t>2127,14/2399,41</t>
  </si>
  <si>
    <t>ПАО Тплюс</t>
  </si>
  <si>
    <t>проверить тарифы</t>
  </si>
  <si>
    <t>сверка с РСО поо ТКО</t>
  </si>
  <si>
    <t>ООО "УК "А-Элита", до 30.06.2024г.</t>
  </si>
  <si>
    <t>уточнить</t>
  </si>
  <si>
    <t>править</t>
  </si>
  <si>
    <t>Клининговая компания, ООО Маки сервис,Ип Котельникова,Пермский центр дезинфекции, персонал УК, материалы</t>
  </si>
  <si>
    <t>Персонал УК, ПАО СБЕРБАНК,налоги, цифровые услуги, расходы офиса</t>
  </si>
  <si>
    <t>свод</t>
  </si>
  <si>
    <t xml:space="preserve">персонал УК,ООО Регион 159, ИП Варданян,прочие материалы и работы </t>
  </si>
  <si>
    <t>Региональной службы по тарифам Пермского края</t>
  </si>
  <si>
    <t xml:space="preserve">Постановление Региональной службы по тарифам Пермского края </t>
  </si>
  <si>
    <t>Тепловая энергия на подогорев  ГВС</t>
  </si>
  <si>
    <t xml:space="preserve"> -расходы коммунальных услуг на содержание ОИ МКД</t>
  </si>
  <si>
    <t>факт 24г</t>
  </si>
  <si>
    <t>Протокол №б/н от 07.10.2015</t>
  </si>
  <si>
    <t xml:space="preserve">Размер взноса на капитальный ремонт на 1 кв. м в соответствии с решением постановления правительства Пермского края </t>
  </si>
  <si>
    <t>Остаток на специальном счету на 01.01.2024г</t>
  </si>
  <si>
    <t>Израсходовано, в 2024г</t>
  </si>
  <si>
    <t>Утверждаю:
Директор ООО "УК "А-Элита"
__________Желтовских А.В.
"31" декабря 2025г</t>
  </si>
  <si>
    <t xml:space="preserve">Годовой отчет за 2025 год </t>
  </si>
  <si>
    <t>20.02.2026г.</t>
  </si>
  <si>
    <t>Остаток на специальном счету с учетом доходов НСО на 31.12.2025г.</t>
  </si>
  <si>
    <t>Остаток на специальном счету на 01.01.2025г</t>
  </si>
  <si>
    <t>Израсходовано, в 2025г</t>
  </si>
  <si>
    <t>Остаток на специальном счету на 31.12.2025г</t>
  </si>
  <si>
    <t xml:space="preserve"> - задолженность потребителей, на 01.01.2025</t>
  </si>
  <si>
    <t xml:space="preserve"> - задолженность потребителей, на 31.12.2025</t>
  </si>
  <si>
    <t>Сведения о выполняемых работах (оказываемых услугах) по содержанию жилых помещений многоквартирного дома, протокол собрания собственников МКД от 02-2022 от 13.02.2023</t>
  </si>
  <si>
    <t>Сведения о выполняемых работах (оказываемых услугах) по содержанию жилых помещений многоквартирного дома, протокол собрания собственников МКД от 03-2022 от 13.02.2023</t>
  </si>
  <si>
    <t>Сведения о выполняемых работах (оказываемых услугах) по содержанию жилых помещений многоквартирного дома, протокол собрания собственников МКД от 04-2022 от 13.02.2023</t>
  </si>
  <si>
    <t xml:space="preserve">ИП Гусев; ООО "ТЦ ПСБ"; ИП Морилова;ИП Головкова; ООО Лифт Индустрия; ООО Альфа лифт контроль,Регион-59, персонал УК </t>
  </si>
  <si>
    <t>Организация накопления твердых бытовых расходов и их передача в организации, имеющие лицензии на осуществление деятельности по сбору, транспортированию, обработке, утилизации, обезвреживанию, размещению таких отходов.</t>
  </si>
  <si>
    <t>Фактический объем выполненных работ</t>
  </si>
  <si>
    <t>перерасход статьи текущий ремонт  на 31.12.2025г.</t>
  </si>
  <si>
    <t>персонал УК, ЧОП, Росгвардия, ТЦ ПСБ</t>
  </si>
  <si>
    <t>ГВС комп.на хол.воду СОИ</t>
  </si>
  <si>
    <t>ГВС комп.тепл.эн-я СОИ для СОИ</t>
  </si>
  <si>
    <t>3.5.</t>
  </si>
  <si>
    <t xml:space="preserve">ГВС комп.на хол.воду </t>
  </si>
  <si>
    <t xml:space="preserve">ГВС комп.тепл.эн-я </t>
  </si>
  <si>
    <t>4.5.</t>
  </si>
  <si>
    <t>01.07.24/01.07.25</t>
  </si>
  <si>
    <t>41,45/48,91</t>
  </si>
  <si>
    <t>сои</t>
  </si>
  <si>
    <t>убыток</t>
  </si>
  <si>
    <t>проверить  счета новогор</t>
  </si>
  <si>
    <t>36,45/43,1</t>
  </si>
  <si>
    <t>Тариф, установленный для потребителей ГВС:тепловая энергия на подогрев  ХВС для ГВС</t>
  </si>
  <si>
    <t>ХВС для ГВС</t>
  </si>
  <si>
    <r>
      <t xml:space="preserve">Вид коммунальной услуги   </t>
    </r>
    <r>
      <rPr>
        <i/>
        <sz val="9.5"/>
        <color rgb="FF000000"/>
        <rFont val="Times New Roman"/>
        <family val="1"/>
        <charset val="204"/>
      </rPr>
      <t>(Горячее  водоснабжение)</t>
    </r>
  </si>
  <si>
    <t>объединить?</t>
  </si>
  <si>
    <t>хвс и гвс</t>
  </si>
  <si>
    <t>Тепловая энергия на подогрев ГВС</t>
  </si>
  <si>
    <t>2399,41/2831,3</t>
  </si>
  <si>
    <t>01.01.25/01.07.25</t>
  </si>
  <si>
    <t>корректировка начислений</t>
  </si>
  <si>
    <t>4,48/2,75…5,15/3,1</t>
  </si>
  <si>
    <t>корректировка СОИ на эту сумму с вычетом ИПУ</t>
  </si>
  <si>
    <t>118,04/186,39</t>
  </si>
  <si>
    <t>Затраты на содержание территории  парковки</t>
  </si>
  <si>
    <t>План и факт</t>
  </si>
  <si>
    <t>без услуг УК добавить</t>
  </si>
  <si>
    <t>ПАО «Ростелеком»</t>
  </si>
  <si>
    <t>все</t>
  </si>
  <si>
    <t>ипу</t>
  </si>
  <si>
    <t>рсо</t>
  </si>
  <si>
    <t>гвс</t>
  </si>
  <si>
    <t>отопл</t>
  </si>
  <si>
    <t>Протокол №02/3-2021 от 31.12.2021г.</t>
  </si>
  <si>
    <t>Космонавта Беляева,61В</t>
  </si>
  <si>
    <t>1010-18АР</t>
  </si>
  <si>
    <t>59:01:4413816:422</t>
  </si>
  <si>
    <t>Сведения о выполняемых работах (оказываемых услугах) по содержанию жилых помещений многоквартирного дома, протокол собрания собственников МКД  №02/3-2021 от 31.12.2021г.</t>
  </si>
  <si>
    <t>Наименование работы (услуги)</t>
  </si>
  <si>
    <t>Цена (стоимость)</t>
  </si>
  <si>
    <t>По перечню работ (услуг)</t>
  </si>
  <si>
    <t xml:space="preserve">Выполнено </t>
  </si>
  <si>
    <t>единицы работы (услуги), руб</t>
  </si>
  <si>
    <t>Количество единиц работы (оказанной услуги)</t>
  </si>
  <si>
    <t>Стоимость работы (оказанной услуги) за месяц, руб.</t>
  </si>
  <si>
    <t>Стоимость работы (оказанной услуги) за год, руб.</t>
  </si>
  <si>
    <t>Размер платы за работы, необходимые для надлежащего содержания несущих конструкций и не несущих конструкций МКД</t>
  </si>
  <si>
    <t xml:space="preserve">кв.м. </t>
  </si>
  <si>
    <t>Работы, выполняемые в отношении всех видов фундаментов</t>
  </si>
  <si>
    <t>кв.м.</t>
  </si>
  <si>
    <t>Работы, выполняемые для надлежащего содержания стен, колонн, столбов, лестниц, перегородок, подвалов, фасадов многоквартирных домов</t>
  </si>
  <si>
    <t>Работы, выполняемые в целях надлежащего содержания перекрытий, покрытий, балок (ригелей) многоквартирных домов</t>
  </si>
  <si>
    <t>Работы, выполняемые в целях надлежащего содержания крыш многоквартирных домов</t>
  </si>
  <si>
    <t>Работы, выполняемые в целях надлежащего содержания внутренней отделки многоквартирных домов</t>
  </si>
  <si>
    <t>Работы, выполняемые в целях надлежащего содержания оконных и дверных заполнений помещений, относящихся к общему имуществу в многоквартирном доме</t>
  </si>
  <si>
    <t xml:space="preserve">2. </t>
  </si>
  <si>
    <t>Работы, выполняемые в целях надлежащего содержания систем вентиляции и дымоудаления многоквартирных домов</t>
  </si>
  <si>
    <t>Работы, выполняемые в целях надлежащего содержания лифта (лифтов) в многоквартирном доме</t>
  </si>
  <si>
    <t>Работы, выполняемые в целях надлежащего содержания электрооборудования, радио- и телекоммуникационного оборудования в многоквартирном доме</t>
  </si>
  <si>
    <t>Работы, выполняемые в целях надлежащего содержания индивидуальных тепловых пунктов и водоподкачек в многоквартирных домах: (пластинчатый бойлер)</t>
  </si>
  <si>
    <t>Общие работы, выполняемые для надлежащего содержания систем водоснабжения (холодного и горячего), отопления и водоотведения в многоквартирных домах:</t>
  </si>
  <si>
    <t>Работы, выполняемые в целях надлежащего содержания систем теплоснабжения (отопление, горячееводоснабжение) в многоквартирных домах</t>
  </si>
  <si>
    <t>Размер платы за работы и услуги по содержанию иного общего
имущества в многоквартирном доме</t>
  </si>
  <si>
    <t>Устранение аварии на внутридомовых инженерных сетях в
домах, не оборудованных газовыми плитами</t>
  </si>
  <si>
    <t>Работы, выполняемые в целях надлежащего содержания систем аварийного освещения, пожаротушения, сигнализации, противопожарного водоснабжения, средств противопожарной защиты, противодымной защиты</t>
  </si>
  <si>
    <t>Работы по содержанию помещений, входящих в состав общего имущества в многоквартирном доме</t>
  </si>
  <si>
    <t>Влажная протирка подоконников, оконных решеток, перил лестниц, шкафов для электросчетчиков слаботочных устройств, почтовых ящиков, дверных коробок, полотен дверей, доводчиков, дверных ручек</t>
  </si>
  <si>
    <t>Мытье окон</t>
  </si>
  <si>
    <t>Очистка систем защиты от грязи (металлических решеток, ячеистых покрытий, приямков, текстильных матов)</t>
  </si>
  <si>
    <t>Проведение дератизации и дезинсекции помещений, входящих в состав общего имущества в многоквартирном доме</t>
  </si>
  <si>
    <t>Содержание контейнерных площадок</t>
  </si>
  <si>
    <t>Работы по содержанию земельного участка, на котором расположен многоквартирный дом, с элементами озеленения и благоустройства, иными объектами, предназначенными для обслуживания и эксплуатации этого дома (далее - придомовая территория):</t>
  </si>
  <si>
    <t>Работы по содержанию придомовой территории для многоквартирных домов в холодный период года: очистка кровли от снега, сбивание сосулек, очистка крышек люков колодцев и пожарных гидрантов от снега и льда толщиной слоя свыше 5 см; сдвигание свежевыпавшего снега и очистка придомовой территории от снега и льда при наличии колейности свыше 5 см; очистка придомовой территории от снега наносного происхождения (или подметание такой территории, свободной от снежного покрова); очистка придомовой территории от наледи и льда; очистка от мусора урн, установленных возле подъездов, и их промывка; уборка крыльца и площадки перед входом в подъезд (в т.ч. вывоз снега, механизированная уборка)</t>
  </si>
  <si>
    <t>Работы по содержанию придомовой территории для многоквартирных домов в теплый период года: подметание и уборка придомовой территории; очистка от мусора и промывка урн, установленных возле подъездов; уборка и выкашивание газонов; прочистка ливневой канализации; уборка крыльца и площадки перед входом в подъезд, очистка металлической решетки и приямка, в т.ч. кронирование деревьев.</t>
  </si>
  <si>
    <t>Размер платы за текущий ремонт жилого здания</t>
  </si>
  <si>
    <t>Итого за содержание и техническое обслуживание общего имущества</t>
  </si>
  <si>
    <t>Постановление Администрации города Перми №СЭД-46-09-21-1;          
          N СЭД-24-02-50-92</t>
  </si>
  <si>
    <t>Отплачено за 2025г.</t>
  </si>
  <si>
    <t>Остаток на специальном счету с учетом доходов НСО на 31.12.2024г.</t>
  </si>
  <si>
    <t xml:space="preserve"> -дисп. СУ и усл. УК</t>
  </si>
  <si>
    <t xml:space="preserve"> -доп.усл.по оформл.платеж.док-в на опл. взнос. на кап.ремонт</t>
  </si>
  <si>
    <t xml:space="preserve">  -установка ИПУ</t>
  </si>
  <si>
    <t xml:space="preserve"> -услуги управляющей организации:</t>
  </si>
  <si>
    <t>не используется</t>
  </si>
  <si>
    <t>Дополнительно оборудования</t>
  </si>
  <si>
    <t>Гибридная, с дефлекторами</t>
  </si>
  <si>
    <t>Автоматические ворота, видеонаблюдение в местах общего пользования, контроль доступа- домофон, калитки оборудованные эл. магнитными замками</t>
  </si>
  <si>
    <t xml:space="preserve">  централизованная  </t>
  </si>
  <si>
    <t>Оплачено по договору в год</t>
  </si>
  <si>
    <t>Оплачено  за гос. пошлины, судебные приказы</t>
  </si>
  <si>
    <t>59:01:4410872:516</t>
  </si>
  <si>
    <t>35.</t>
  </si>
  <si>
    <t>Не оплаченные услуги КУ, потребителем</t>
  </si>
  <si>
    <t>Поступления за 2025г.</t>
  </si>
  <si>
    <t xml:space="preserve"> -приобретение брелока</t>
  </si>
  <si>
    <t>36.</t>
  </si>
  <si>
    <t xml:space="preserve">4. </t>
  </si>
  <si>
    <t xml:space="preserve">3. </t>
  </si>
  <si>
    <t>Переходящие остатки денежных средств текущий ремонт (на начало периода):</t>
  </si>
  <si>
    <t>лифт</t>
  </si>
  <si>
    <t>Пож</t>
  </si>
  <si>
    <t>сантехника</t>
  </si>
  <si>
    <t>клининг</t>
  </si>
  <si>
    <t>работы, по содержанию несущих конструкций и не несущих конструкций МКД</t>
  </si>
  <si>
    <t xml:space="preserve"> -доходы от использования ОИ МКД</t>
  </si>
  <si>
    <t>16.1.</t>
  </si>
  <si>
    <t xml:space="preserve"> с доходами ОИ</t>
  </si>
  <si>
    <t>текущий ремонт</t>
  </si>
  <si>
    <t>Задолженность на 31.12.2025г.</t>
  </si>
  <si>
    <t>услуги подрядных организаций: работы по содержанию оборудования и систем инженерно-технического обеспечения</t>
  </si>
  <si>
    <t>расходы на управление многоквартирным домом, услуги банка, налоги, услуги связи, офисные материалы и прочие управленческие расходы</t>
  </si>
  <si>
    <t>16.1.1.</t>
  </si>
  <si>
    <t>16.1.2.</t>
  </si>
  <si>
    <t>16.1.3.</t>
  </si>
  <si>
    <t>16.2.</t>
  </si>
  <si>
    <t>16.3.</t>
  </si>
  <si>
    <t>16.4.</t>
  </si>
  <si>
    <t>16.5.</t>
  </si>
  <si>
    <t>16.6.</t>
  </si>
  <si>
    <t>16.7.</t>
  </si>
  <si>
    <t>16.8.</t>
  </si>
  <si>
    <t xml:space="preserve">  -сод. тер. транспорта</t>
  </si>
  <si>
    <t>содержание и текущий ремонт общего имущества в т.ч.:</t>
  </si>
  <si>
    <t>Корректировка расхода на СОИ, электроэнергия за 2024г.</t>
  </si>
  <si>
    <t>Годовая стоимость, начислено</t>
  </si>
  <si>
    <t>01.07.25/01.07.25</t>
  </si>
  <si>
    <t>корректировка стоимости коммунальных услуг на СОИ  МКД(норматив- факт) за 2024г.</t>
  </si>
  <si>
    <t xml:space="preserve">почему меньше начислили </t>
  </si>
  <si>
    <t xml:space="preserve">Вид коммунальной услуги   </t>
  </si>
  <si>
    <t>Тепловая энергия на отопление</t>
  </si>
  <si>
    <t>ОАО «ЭР Телеком Холдинг» LoRaWAN</t>
  </si>
  <si>
    <t>Общие сведения о многоквартирном доме:г. Пермь, ул. Мира122/2</t>
  </si>
  <si>
    <t>Общие сведения о многоквартирном доме: г. Пермь, ул. Космонавта Беляева,61В</t>
  </si>
  <si>
    <t>Общие сведения о многоквартирном доме:  г. Пермь, ул. Космонавта Беляева,40д</t>
  </si>
  <si>
    <t>Общие сведения о многоквартирном доме:  г. Пермь, ул. Космонавта Беляева,40г</t>
  </si>
  <si>
    <t>Общие сведения о многоквартирном доме: г. Пермь, ул. Космонавта Беляева,40в</t>
  </si>
  <si>
    <t>Общие сведения о многоквартирном доме:  г. Пермь, ул. Космонавта Беляева,40б</t>
  </si>
  <si>
    <t>МТС</t>
  </si>
  <si>
    <t xml:space="preserve"> ИП Смирнов </t>
  </si>
  <si>
    <t>ул. Мира122/2</t>
  </si>
  <si>
    <t xml:space="preserve">   Свайный, ростверк</t>
  </si>
  <si>
    <t>Железобетонные, сборные</t>
  </si>
  <si>
    <t>кирпичные  с отделкой цементными плитами</t>
  </si>
  <si>
    <t>когда</t>
  </si>
  <si>
    <t>какая</t>
  </si>
  <si>
    <t>квитанции</t>
  </si>
  <si>
    <t>почему где еще-м2</t>
  </si>
  <si>
    <t>Остаток по  статье текущий ремонт  на 31.12.2025г.</t>
  </si>
  <si>
    <t>начислено</t>
  </si>
  <si>
    <t>СФТК</t>
  </si>
  <si>
    <t>ВСХНд</t>
  </si>
  <si>
    <t>Общие сведения о многоквартирном доме:г. Пермь, шоссе Космонавтов ,104</t>
  </si>
  <si>
    <t>г. Пермь, шоссе Космонавтов ,104</t>
  </si>
  <si>
    <t>ПРИМ-32</t>
  </si>
  <si>
    <t>ВСКМ 20ДГ</t>
  </si>
  <si>
    <t>Сведения о выполняемых работах (оказываемых услугах) по содержанию жилых помещений многоквартирного дома, протокол собрания собственников МКД от 1/2021 от 07.06.2021</t>
  </si>
  <si>
    <t>Устранение аварии на внутридомовых инженерных сетях в
домах, оборудованных газовыми плитами</t>
  </si>
  <si>
    <t>ТелеТВ</t>
  </si>
  <si>
    <t>Лифт медиа</t>
  </si>
  <si>
    <t>Придомовая территория</t>
  </si>
  <si>
    <t>СК Мир</t>
  </si>
  <si>
    <t xml:space="preserve"> - задолженность потребителей, на начало периода</t>
  </si>
  <si>
    <t>целевые взносы</t>
  </si>
  <si>
    <t>по тарифу</t>
  </si>
  <si>
    <t>Сведения о выполняемых работах (оказываемых услугах) по содержанию жилых помещений многоквартирного дома, протокол собрания собственников МКД от 1/2019 от 31.07.2019</t>
  </si>
  <si>
    <t>Услуги консьержа</t>
  </si>
  <si>
    <t>Вознаграждение председателя совета МКД</t>
  </si>
  <si>
    <t>проверить площадь МОП</t>
  </si>
  <si>
    <t>Корректировка расхода на СОИ, тепловая энергия на ГВС за 2024г.</t>
  </si>
  <si>
    <t>Корректировка расхода на СОИ, тепловая энергия на ГВС за 2025г.</t>
  </si>
  <si>
    <t>ОАО МТС</t>
  </si>
  <si>
    <t>Эр Телеком</t>
  </si>
  <si>
    <t xml:space="preserve"> -Вознаграждение председателя совета дома</t>
  </si>
  <si>
    <t xml:space="preserve">вознаграждение </t>
  </si>
  <si>
    <t>остаток</t>
  </si>
  <si>
    <t>начислено меньше чем по расчету</t>
  </si>
  <si>
    <t xml:space="preserve"> -услуги консьержа</t>
  </si>
  <si>
    <t xml:space="preserve">  -прочие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</si>
</sst>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4" x14ac:knownFonts="1">
    <font>
      <sz val="11"/>
      <color theme="1"/>
      <name val="Calibri"/>
      <family val="2"/>
      <charset val="204"/>
      <scheme val="minor"/>
    </font>
    <font>
      <b/>
      <sz val="11.5"/>
      <color theme="1"/>
      <name val="Times New Roman"/>
      <family val="1"/>
      <charset val="204"/>
    </font>
    <font>
      <b/>
      <sz val="9.5"/>
      <color rgb="FF000000"/>
      <name val="Times New Roman"/>
      <family val="1"/>
      <charset val="204"/>
    </font>
    <font>
      <b/>
      <sz val="11.5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2"/>
      <color rgb="FF000000"/>
      <name val="Courier New"/>
      <family val="3"/>
      <charset val="204"/>
    </font>
    <font>
      <sz val="12"/>
      <name val="Courier New"/>
      <family val="3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Courier New"/>
      <family val="3"/>
      <charset val="204"/>
    </font>
    <font>
      <sz val="10"/>
      <name val="Courier New"/>
      <family val="3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i/>
      <sz val="9.5"/>
      <color rgb="FF000000"/>
      <name val="Times New Roman"/>
      <family val="1"/>
      <charset val="204"/>
    </font>
    <font>
      <sz val="9.5"/>
      <color rgb="FF000000"/>
      <name val="Courier New"/>
      <family val="3"/>
      <charset val="204"/>
    </font>
    <font>
      <sz val="10"/>
      <color rgb="FF666666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name val="Times New Roman"/>
      <family val="2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Courier New"/>
      <family val="3"/>
      <charset val="204"/>
    </font>
    <font>
      <sz val="9.5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8" fillId="2" borderId="3" xfId="0" applyNumberFormat="1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11" fillId="2" borderId="4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4" fontId="8" fillId="2" borderId="11" xfId="0" applyNumberFormat="1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 wrapText="1"/>
    </xf>
    <xf numFmtId="0" fontId="12" fillId="0" borderId="11" xfId="0" applyFont="1" applyBorder="1"/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14" fontId="13" fillId="2" borderId="11" xfId="0" applyNumberFormat="1" applyFont="1" applyFill="1" applyBorder="1" applyAlignment="1">
      <alignment vertical="center" wrapText="1"/>
    </xf>
    <xf numFmtId="0" fontId="13" fillId="2" borderId="11" xfId="0" applyFont="1" applyFill="1" applyBorder="1" applyAlignment="1">
      <alignment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left" vertical="center" wrapText="1" indent="2"/>
    </xf>
    <xf numFmtId="0" fontId="8" fillId="2" borderId="11" xfId="0" applyFont="1" applyFill="1" applyBorder="1" applyAlignment="1">
      <alignment vertical="center" wrapText="1"/>
    </xf>
    <xf numFmtId="14" fontId="11" fillId="2" borderId="11" xfId="0" applyNumberFormat="1" applyFont="1" applyFill="1" applyBorder="1" applyAlignment="1">
      <alignment vertical="center" wrapText="1"/>
    </xf>
    <xf numFmtId="0" fontId="12" fillId="0" borderId="11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/>
    </xf>
    <xf numFmtId="0" fontId="12" fillId="0" borderId="13" xfId="0" applyFont="1" applyBorder="1"/>
    <xf numFmtId="0" fontId="12" fillId="0" borderId="12" xfId="0" applyFont="1" applyBorder="1" applyAlignment="1">
      <alignment horizontal="center"/>
    </xf>
    <xf numFmtId="0" fontId="12" fillId="0" borderId="12" xfId="0" applyFont="1" applyBorder="1"/>
    <xf numFmtId="0" fontId="17" fillId="2" borderId="11" xfId="0" applyFont="1" applyFill="1" applyBorder="1" applyAlignment="1">
      <alignment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vertical="center" wrapText="1"/>
    </xf>
    <xf numFmtId="0" fontId="18" fillId="2" borderId="11" xfId="0" applyFont="1" applyFill="1" applyBorder="1" applyAlignment="1">
      <alignment vertical="center" wrapText="1"/>
    </xf>
    <xf numFmtId="4" fontId="13" fillId="2" borderId="11" xfId="0" applyNumberFormat="1" applyFont="1" applyFill="1" applyBorder="1" applyAlignment="1">
      <alignment vertical="center" wrapText="1"/>
    </xf>
    <xf numFmtId="4" fontId="13" fillId="2" borderId="11" xfId="0" applyNumberFormat="1" applyFont="1" applyFill="1" applyBorder="1" applyAlignment="1">
      <alignment horizontal="right" vertical="center" wrapText="1"/>
    </xf>
    <xf numFmtId="4" fontId="9" fillId="2" borderId="11" xfId="0" applyNumberFormat="1" applyFont="1" applyFill="1" applyBorder="1" applyAlignment="1">
      <alignment horizontal="right" vertical="center" wrapText="1"/>
    </xf>
    <xf numFmtId="0" fontId="11" fillId="2" borderId="3" xfId="0" applyNumberFormat="1" applyFont="1" applyFill="1" applyBorder="1" applyAlignment="1">
      <alignment vertical="center" wrapText="1"/>
    </xf>
    <xf numFmtId="0" fontId="11" fillId="2" borderId="8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vertical="center" wrapText="1"/>
    </xf>
    <xf numFmtId="0" fontId="12" fillId="3" borderId="0" xfId="0" applyFont="1" applyFill="1"/>
    <xf numFmtId="4" fontId="12" fillId="3" borderId="0" xfId="0" applyNumberFormat="1" applyFont="1" applyFill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7" fillId="3" borderId="0" xfId="0" applyFont="1" applyFill="1"/>
    <xf numFmtId="0" fontId="0" fillId="3" borderId="0" xfId="0" applyFill="1"/>
    <xf numFmtId="0" fontId="12" fillId="3" borderId="0" xfId="0" applyFont="1" applyFill="1" applyBorder="1" applyAlignment="1">
      <alignment horizontal="center" vertical="center" wrapText="1"/>
    </xf>
    <xf numFmtId="0" fontId="12" fillId="3" borderId="0" xfId="0" applyFont="1" applyFill="1" applyBorder="1"/>
    <xf numFmtId="164" fontId="12" fillId="3" borderId="11" xfId="0" applyNumberFormat="1" applyFont="1" applyFill="1" applyBorder="1" applyAlignment="1">
      <alignment vertical="center" wrapText="1"/>
    </xf>
    <xf numFmtId="2" fontId="9" fillId="2" borderId="11" xfId="0" applyNumberFormat="1" applyFont="1" applyFill="1" applyBorder="1" applyAlignment="1">
      <alignment vertical="center" wrapText="1"/>
    </xf>
    <xf numFmtId="14" fontId="13" fillId="2" borderId="18" xfId="0" applyNumberFormat="1" applyFont="1" applyFill="1" applyBorder="1" applyAlignment="1">
      <alignment vertical="center" wrapText="1"/>
    </xf>
    <xf numFmtId="2" fontId="9" fillId="3" borderId="11" xfId="0" applyNumberFormat="1" applyFont="1" applyFill="1" applyBorder="1" applyAlignment="1">
      <alignment vertical="center" wrapText="1"/>
    </xf>
    <xf numFmtId="0" fontId="17" fillId="2" borderId="0" xfId="0" applyFont="1" applyFill="1" applyBorder="1" applyAlignment="1">
      <alignment horizontal="center" vertical="center" wrapText="1"/>
    </xf>
    <xf numFmtId="4" fontId="13" fillId="2" borderId="0" xfId="0" applyNumberFormat="1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center" vertical="center" wrapText="1"/>
    </xf>
    <xf numFmtId="4" fontId="9" fillId="2" borderId="11" xfId="0" applyNumberFormat="1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40" fillId="3" borderId="11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vertical="center" wrapText="1"/>
    </xf>
    <xf numFmtId="4" fontId="12" fillId="3" borderId="11" xfId="0" applyNumberFormat="1" applyFont="1" applyFill="1" applyBorder="1"/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12" fillId="3" borderId="11" xfId="0" applyFont="1" applyFill="1" applyBorder="1"/>
    <xf numFmtId="0" fontId="4" fillId="3" borderId="14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left" vertical="center" wrapText="1" indent="2"/>
    </xf>
    <xf numFmtId="0" fontId="31" fillId="3" borderId="0" xfId="0" applyFont="1" applyFill="1"/>
    <xf numFmtId="0" fontId="9" fillId="3" borderId="1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left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/>
    </xf>
    <xf numFmtId="0" fontId="12" fillId="3" borderId="13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14" fontId="13" fillId="3" borderId="11" xfId="0" applyNumberFormat="1" applyFont="1" applyFill="1" applyBorder="1" applyAlignment="1">
      <alignment vertical="center" wrapText="1"/>
    </xf>
    <xf numFmtId="0" fontId="8" fillId="3" borderId="11" xfId="0" applyFont="1" applyFill="1" applyBorder="1" applyAlignment="1">
      <alignment vertical="center" wrapText="1"/>
    </xf>
    <xf numFmtId="14" fontId="11" fillId="3" borderId="11" xfId="0" applyNumberFormat="1" applyFont="1" applyFill="1" applyBorder="1" applyAlignment="1">
      <alignment vertical="center" wrapText="1"/>
    </xf>
    <xf numFmtId="0" fontId="12" fillId="3" borderId="11" xfId="0" applyFont="1" applyFill="1" applyBorder="1" applyAlignment="1">
      <alignment horizontal="center"/>
    </xf>
    <xf numFmtId="0" fontId="12" fillId="3" borderId="11" xfId="0" applyFont="1" applyFill="1" applyBorder="1" applyAlignment="1">
      <alignment wrapText="1"/>
    </xf>
    <xf numFmtId="0" fontId="39" fillId="3" borderId="11" xfId="0" applyFont="1" applyFill="1" applyBorder="1" applyAlignment="1">
      <alignment vertical="top" wrapText="1"/>
    </xf>
    <xf numFmtId="0" fontId="2" fillId="3" borderId="3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/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/>
    </xf>
    <xf numFmtId="0" fontId="12" fillId="3" borderId="22" xfId="0" applyFont="1" applyFill="1" applyBorder="1"/>
    <xf numFmtId="14" fontId="8" fillId="3" borderId="11" xfId="0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center"/>
    </xf>
    <xf numFmtId="0" fontId="12" fillId="3" borderId="12" xfId="0" applyFont="1" applyFill="1" applyBorder="1"/>
    <xf numFmtId="0" fontId="6" fillId="3" borderId="3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vertical="top" wrapText="1"/>
    </xf>
    <xf numFmtId="0" fontId="17" fillId="3" borderId="11" xfId="0" applyFont="1" applyFill="1" applyBorder="1" applyAlignment="1">
      <alignment vertical="center" wrapText="1"/>
    </xf>
    <xf numFmtId="0" fontId="1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center" vertical="center"/>
    </xf>
    <xf numFmtId="0" fontId="19" fillId="3" borderId="1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left" vertical="center" wrapText="1" indent="1"/>
    </xf>
    <xf numFmtId="0" fontId="9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12" fillId="3" borderId="12" xfId="0" applyFont="1" applyFill="1" applyBorder="1" applyAlignment="1">
      <alignment wrapText="1"/>
    </xf>
    <xf numFmtId="0" fontId="8" fillId="3" borderId="12" xfId="0" applyFont="1" applyFill="1" applyBorder="1" applyAlignment="1">
      <alignment vertical="center" wrapText="1"/>
    </xf>
    <xf numFmtId="0" fontId="35" fillId="0" borderId="11" xfId="0" applyFont="1" applyBorder="1" applyAlignment="1">
      <alignment vertical="center" wrapText="1"/>
    </xf>
    <xf numFmtId="0" fontId="36" fillId="0" borderId="11" xfId="0" applyFont="1" applyBorder="1" applyAlignment="1">
      <alignment vertical="center" wrapText="1"/>
    </xf>
    <xf numFmtId="0" fontId="36" fillId="0" borderId="11" xfId="0" applyFont="1" applyBorder="1" applyAlignment="1">
      <alignment horizontal="center" vertical="center" wrapText="1"/>
    </xf>
    <xf numFmtId="0" fontId="0" fillId="0" borderId="0" xfId="0" applyAlignment="1"/>
    <xf numFmtId="0" fontId="37" fillId="4" borderId="11" xfId="0" applyFont="1" applyFill="1" applyBorder="1" applyAlignment="1">
      <alignment vertical="top" wrapText="1"/>
    </xf>
    <xf numFmtId="0" fontId="35" fillId="0" borderId="11" xfId="0" applyFont="1" applyBorder="1" applyAlignment="1">
      <alignment horizontal="center" vertical="center" wrapText="1"/>
    </xf>
    <xf numFmtId="2" fontId="38" fillId="4" borderId="11" xfId="0" applyNumberFormat="1" applyFont="1" applyFill="1" applyBorder="1" applyAlignment="1">
      <alignment horizontal="center" vertical="center"/>
    </xf>
    <xf numFmtId="164" fontId="5" fillId="0" borderId="11" xfId="0" applyNumberFormat="1" applyFont="1" applyBorder="1" applyAlignment="1">
      <alignment vertical="center" wrapText="1"/>
    </xf>
    <xf numFmtId="0" fontId="26" fillId="0" borderId="0" xfId="0" applyFont="1" applyAlignment="1"/>
    <xf numFmtId="0" fontId="39" fillId="0" borderId="11" xfId="0" applyFont="1" applyBorder="1" applyAlignment="1">
      <alignment vertical="top" wrapText="1"/>
    </xf>
    <xf numFmtId="2" fontId="40" fillId="0" borderId="11" xfId="0" applyNumberFormat="1" applyFont="1" applyBorder="1" applyAlignment="1">
      <alignment horizontal="center" vertical="center"/>
    </xf>
    <xf numFmtId="164" fontId="12" fillId="0" borderId="11" xfId="0" applyNumberFormat="1" applyFont="1" applyBorder="1" applyAlignment="1">
      <alignment vertical="center" wrapText="1"/>
    </xf>
    <xf numFmtId="0" fontId="40" fillId="0" borderId="11" xfId="0" applyFont="1" applyBorder="1" applyAlignment="1">
      <alignment horizontal="center" vertical="center"/>
    </xf>
    <xf numFmtId="0" fontId="38" fillId="4" borderId="11" xfId="0" applyFont="1" applyFill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0" fillId="0" borderId="11" xfId="0" applyBorder="1" applyAlignment="1"/>
    <xf numFmtId="0" fontId="26" fillId="0" borderId="11" xfId="0" applyFont="1" applyBorder="1" applyAlignment="1"/>
    <xf numFmtId="2" fontId="7" fillId="3" borderId="11" xfId="0" applyNumberFormat="1" applyFont="1" applyFill="1" applyBorder="1" applyAlignment="1">
      <alignment vertical="center" wrapText="1"/>
    </xf>
    <xf numFmtId="2" fontId="8" fillId="3" borderId="11" xfId="0" applyNumberFormat="1" applyFont="1" applyFill="1" applyBorder="1" applyAlignment="1">
      <alignment vertical="center" wrapText="1"/>
    </xf>
    <xf numFmtId="2" fontId="9" fillId="3" borderId="11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9" fillId="3" borderId="28" xfId="0" applyFont="1" applyFill="1" applyBorder="1" applyAlignment="1">
      <alignment horizontal="left" vertical="center" wrapText="1"/>
    </xf>
    <xf numFmtId="0" fontId="9" fillId="3" borderId="26" xfId="0" applyFont="1" applyFill="1" applyBorder="1" applyAlignment="1">
      <alignment horizontal="left" vertical="center" wrapText="1"/>
    </xf>
    <xf numFmtId="0" fontId="9" fillId="3" borderId="27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left" vertical="center" wrapText="1"/>
    </xf>
    <xf numFmtId="4" fontId="9" fillId="3" borderId="11" xfId="0" applyNumberFormat="1" applyFont="1" applyFill="1" applyBorder="1" applyAlignment="1">
      <alignment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vertical="center" wrapText="1"/>
    </xf>
    <xf numFmtId="14" fontId="11" fillId="3" borderId="0" xfId="0" applyNumberFormat="1" applyFont="1" applyFill="1" applyBorder="1" applyAlignment="1">
      <alignment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1" fillId="2" borderId="11" xfId="0" applyNumberFormat="1" applyFont="1" applyFill="1" applyBorder="1" applyAlignment="1">
      <alignment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1" fillId="3" borderId="11" xfId="0" applyNumberFormat="1" applyFont="1" applyFill="1" applyBorder="1" applyAlignment="1">
      <alignment vertical="center" wrapText="1"/>
    </xf>
    <xf numFmtId="2" fontId="11" fillId="2" borderId="11" xfId="0" applyNumberFormat="1" applyFont="1" applyFill="1" applyBorder="1" applyAlignment="1">
      <alignment vertical="center" wrapText="1"/>
    </xf>
    <xf numFmtId="0" fontId="20" fillId="3" borderId="0" xfId="0" applyFont="1" applyFill="1" applyBorder="1" applyAlignment="1">
      <alignment horizontal="left" vertical="center" wrapText="1"/>
    </xf>
    <xf numFmtId="164" fontId="26" fillId="0" borderId="0" xfId="0" applyNumberFormat="1" applyFont="1" applyAlignment="1"/>
    <xf numFmtId="164" fontId="12" fillId="3" borderId="0" xfId="0" applyNumberFormat="1" applyFont="1" applyFill="1"/>
    <xf numFmtId="2" fontId="12" fillId="3" borderId="0" xfId="0" applyNumberFormat="1" applyFont="1" applyFill="1"/>
    <xf numFmtId="0" fontId="3" fillId="3" borderId="11" xfId="0" applyFont="1" applyFill="1" applyBorder="1" applyAlignment="1">
      <alignment horizontal="center" vertical="center" wrapText="1"/>
    </xf>
    <xf numFmtId="4" fontId="9" fillId="3" borderId="11" xfId="0" applyNumberFormat="1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left" vertical="center" wrapText="1"/>
    </xf>
    <xf numFmtId="2" fontId="40" fillId="3" borderId="11" xfId="0" applyNumberFormat="1" applyFont="1" applyFill="1" applyBorder="1" applyAlignment="1">
      <alignment horizontal="center" vertical="center"/>
    </xf>
    <xf numFmtId="0" fontId="35" fillId="3" borderId="11" xfId="0" applyFont="1" applyFill="1" applyBorder="1" applyAlignment="1">
      <alignment vertical="center" wrapText="1"/>
    </xf>
    <xf numFmtId="0" fontId="36" fillId="3" borderId="11" xfId="0" applyFont="1" applyFill="1" applyBorder="1" applyAlignment="1">
      <alignment vertical="center" wrapText="1"/>
    </xf>
    <xf numFmtId="0" fontId="36" fillId="3" borderId="11" xfId="0" applyFont="1" applyFill="1" applyBorder="1" applyAlignment="1">
      <alignment horizontal="center" vertical="center" wrapText="1"/>
    </xf>
    <xf numFmtId="0" fontId="35" fillId="3" borderId="11" xfId="0" applyFont="1" applyFill="1" applyBorder="1" applyAlignment="1">
      <alignment horizontal="center" vertical="center" wrapText="1"/>
    </xf>
    <xf numFmtId="164" fontId="5" fillId="3" borderId="11" xfId="0" applyNumberFormat="1" applyFont="1" applyFill="1" applyBorder="1" applyAlignment="1">
      <alignment vertical="center" wrapText="1"/>
    </xf>
    <xf numFmtId="0" fontId="27" fillId="3" borderId="0" xfId="0" applyFont="1" applyFill="1" applyAlignment="1"/>
    <xf numFmtId="0" fontId="35" fillId="3" borderId="11" xfId="0" applyFont="1" applyFill="1" applyBorder="1" applyAlignment="1">
      <alignment vertical="top" wrapText="1"/>
    </xf>
    <xf numFmtId="2" fontId="5" fillId="3" borderId="11" xfId="0" applyNumberFormat="1" applyFont="1" applyFill="1" applyBorder="1" applyAlignment="1">
      <alignment horizontal="center" vertical="center"/>
    </xf>
    <xf numFmtId="0" fontId="41" fillId="3" borderId="0" xfId="0" applyFont="1" applyFill="1" applyAlignment="1"/>
    <xf numFmtId="0" fontId="36" fillId="3" borderId="11" xfId="0" applyFont="1" applyFill="1" applyBorder="1" applyAlignment="1">
      <alignment vertical="top" wrapText="1"/>
    </xf>
    <xf numFmtId="2" fontId="12" fillId="3" borderId="11" xfId="0" applyNumberFormat="1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164" fontId="41" fillId="3" borderId="0" xfId="0" applyNumberFormat="1" applyFont="1" applyFill="1" applyAlignment="1"/>
    <xf numFmtId="0" fontId="27" fillId="3" borderId="11" xfId="0" applyFont="1" applyFill="1" applyBorder="1" applyAlignment="1"/>
    <xf numFmtId="0" fontId="41" fillId="3" borderId="11" xfId="0" applyFont="1" applyFill="1" applyBorder="1" applyAlignment="1"/>
    <xf numFmtId="0" fontId="28" fillId="3" borderId="11" xfId="0" applyFont="1" applyFill="1" applyBorder="1" applyAlignment="1">
      <alignment vertical="center" wrapText="1"/>
    </xf>
    <xf numFmtId="0" fontId="9" fillId="3" borderId="18" xfId="0" applyFont="1" applyFill="1" applyBorder="1" applyAlignment="1">
      <alignment vertical="center" wrapText="1"/>
    </xf>
    <xf numFmtId="0" fontId="28" fillId="3" borderId="18" xfId="0" applyFont="1" applyFill="1" applyBorder="1" applyAlignment="1">
      <alignment vertical="center" wrapText="1"/>
    </xf>
    <xf numFmtId="0" fontId="28" fillId="3" borderId="21" xfId="0" applyFont="1" applyFill="1" applyBorder="1" applyAlignment="1">
      <alignment vertical="center" wrapText="1"/>
    </xf>
    <xf numFmtId="0" fontId="42" fillId="3" borderId="11" xfId="0" applyFont="1" applyFill="1" applyBorder="1" applyAlignment="1">
      <alignment vertical="center" wrapText="1"/>
    </xf>
    <xf numFmtId="0" fontId="28" fillId="3" borderId="24" xfId="0" applyFont="1" applyFill="1" applyBorder="1" applyAlignment="1">
      <alignment vertical="center" wrapText="1"/>
    </xf>
    <xf numFmtId="0" fontId="27" fillId="3" borderId="11" xfId="0" applyFont="1" applyFill="1" applyBorder="1" applyAlignment="1">
      <alignment vertical="top" wrapText="1"/>
    </xf>
    <xf numFmtId="0" fontId="6" fillId="3" borderId="11" xfId="0" applyFont="1" applyFill="1" applyBorder="1" applyAlignment="1">
      <alignment vertical="center" wrapText="1"/>
    </xf>
    <xf numFmtId="0" fontId="28" fillId="3" borderId="3" xfId="0" applyFont="1" applyFill="1" applyBorder="1" applyAlignment="1">
      <alignment vertical="center" wrapText="1"/>
    </xf>
    <xf numFmtId="0" fontId="28" fillId="3" borderId="8" xfId="0" applyFont="1" applyFill="1" applyBorder="1" applyAlignment="1">
      <alignment vertical="center" wrapText="1"/>
    </xf>
    <xf numFmtId="0" fontId="43" fillId="3" borderId="3" xfId="0" applyFont="1" applyFill="1" applyBorder="1" applyAlignment="1">
      <alignment vertical="center" wrapText="1"/>
    </xf>
    <xf numFmtId="0" fontId="28" fillId="3" borderId="3" xfId="0" applyNumberFormat="1" applyFont="1" applyFill="1" applyBorder="1" applyAlignment="1">
      <alignment vertical="center" wrapText="1"/>
    </xf>
    <xf numFmtId="0" fontId="28" fillId="3" borderId="7" xfId="0" applyFont="1" applyFill="1" applyBorder="1" applyAlignment="1">
      <alignment vertical="center" wrapText="1"/>
    </xf>
    <xf numFmtId="0" fontId="28" fillId="3" borderId="4" xfId="0" applyFont="1" applyFill="1" applyBorder="1" applyAlignment="1">
      <alignment vertical="center" wrapText="1"/>
    </xf>
    <xf numFmtId="0" fontId="28" fillId="3" borderId="8" xfId="0" applyNumberFormat="1" applyFont="1" applyFill="1" applyBorder="1" applyAlignment="1">
      <alignment vertical="center" wrapText="1"/>
    </xf>
    <xf numFmtId="0" fontId="43" fillId="3" borderId="8" xfId="0" applyFont="1" applyFill="1" applyBorder="1" applyAlignment="1">
      <alignment vertical="center" wrapText="1"/>
    </xf>
    <xf numFmtId="2" fontId="28" fillId="3" borderId="11" xfId="0" applyNumberFormat="1" applyFont="1" applyFill="1" applyBorder="1" applyAlignment="1">
      <alignment vertical="center" wrapText="1"/>
    </xf>
    <xf numFmtId="4" fontId="28" fillId="3" borderId="11" xfId="0" applyNumberFormat="1" applyFont="1" applyFill="1" applyBorder="1" applyAlignment="1">
      <alignment vertical="center" wrapText="1"/>
    </xf>
    <xf numFmtId="14" fontId="13" fillId="3" borderId="3" xfId="0" applyNumberFormat="1" applyFont="1" applyFill="1" applyBorder="1" applyAlignment="1">
      <alignment vertical="center" wrapText="1"/>
    </xf>
    <xf numFmtId="2" fontId="13" fillId="3" borderId="11" xfId="0" applyNumberFormat="1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33" fillId="2" borderId="8" xfId="0" applyFont="1" applyFill="1" applyBorder="1" applyAlignment="1">
      <alignment vertical="center" wrapText="1"/>
    </xf>
    <xf numFmtId="0" fontId="32" fillId="2" borderId="11" xfId="0" applyFont="1" applyFill="1" applyBorder="1" applyAlignment="1">
      <alignment vertical="center" wrapText="1"/>
    </xf>
    <xf numFmtId="4" fontId="11" fillId="3" borderId="11" xfId="0" applyNumberFormat="1" applyFont="1" applyFill="1" applyBorder="1" applyAlignment="1">
      <alignment vertical="center" wrapText="1"/>
    </xf>
    <xf numFmtId="0" fontId="12" fillId="3" borderId="0" xfId="0" applyFont="1" applyFill="1" applyBorder="1" applyAlignment="1">
      <alignment horizontal="center"/>
    </xf>
    <xf numFmtId="0" fontId="15" fillId="3" borderId="0" xfId="0" applyFont="1" applyFill="1" applyAlignment="1">
      <alignment horizontal="center" vertical="center"/>
    </xf>
    <xf numFmtId="14" fontId="13" fillId="3" borderId="0" xfId="0" applyNumberFormat="1" applyFont="1" applyFill="1" applyBorder="1" applyAlignment="1">
      <alignment vertical="center" wrapText="1"/>
    </xf>
    <xf numFmtId="0" fontId="15" fillId="3" borderId="0" xfId="0" applyFont="1" applyFill="1" applyAlignment="1">
      <alignment horizontal="left" vertical="center"/>
    </xf>
    <xf numFmtId="0" fontId="13" fillId="3" borderId="11" xfId="0" applyFont="1" applyFill="1" applyBorder="1" applyAlignment="1">
      <alignment vertical="center" wrapText="1"/>
    </xf>
    <xf numFmtId="0" fontId="13" fillId="3" borderId="0" xfId="0" applyFont="1" applyFill="1" applyBorder="1" applyAlignment="1">
      <alignment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vertical="center" wrapText="1"/>
    </xf>
    <xf numFmtId="0" fontId="14" fillId="3" borderId="0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0" fontId="0" fillId="3" borderId="0" xfId="0" applyFill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vertical="center" wrapText="1"/>
    </xf>
    <xf numFmtId="0" fontId="0" fillId="3" borderId="0" xfId="0" applyFill="1" applyAlignment="1"/>
    <xf numFmtId="0" fontId="37" fillId="3" borderId="11" xfId="0" applyFont="1" applyFill="1" applyBorder="1" applyAlignment="1">
      <alignment vertical="top" wrapText="1"/>
    </xf>
    <xf numFmtId="2" fontId="38" fillId="3" borderId="11" xfId="0" applyNumberFormat="1" applyFont="1" applyFill="1" applyBorder="1" applyAlignment="1">
      <alignment horizontal="center" vertical="center"/>
    </xf>
    <xf numFmtId="0" fontId="26" fillId="3" borderId="0" xfId="0" applyFont="1" applyFill="1" applyAlignment="1"/>
    <xf numFmtId="0" fontId="38" fillId="3" borderId="11" xfId="0" applyFont="1" applyFill="1" applyBorder="1" applyAlignment="1">
      <alignment horizontal="center" vertical="center"/>
    </xf>
    <xf numFmtId="164" fontId="26" fillId="3" borderId="0" xfId="0" applyNumberFormat="1" applyFont="1" applyFill="1" applyAlignment="1"/>
    <xf numFmtId="0" fontId="29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/>
    <xf numFmtId="0" fontId="26" fillId="3" borderId="11" xfId="0" applyFont="1" applyFill="1" applyBorder="1" applyAlignment="1"/>
    <xf numFmtId="0" fontId="3" fillId="3" borderId="0" xfId="0" applyFont="1" applyFill="1" applyBorder="1" applyAlignment="1">
      <alignment horizontal="center" vertical="center" wrapText="1"/>
    </xf>
    <xf numFmtId="2" fontId="11" fillId="3" borderId="11" xfId="0" applyNumberFormat="1" applyFont="1" applyFill="1" applyBorder="1" applyAlignment="1">
      <alignment vertical="center" wrapText="1"/>
    </xf>
    <xf numFmtId="14" fontId="8" fillId="3" borderId="3" xfId="0" applyNumberFormat="1" applyFont="1" applyFill="1" applyBorder="1" applyAlignment="1">
      <alignment vertical="center" wrapText="1"/>
    </xf>
    <xf numFmtId="14" fontId="8" fillId="3" borderId="0" xfId="0" applyNumberFormat="1" applyFont="1" applyFill="1" applyBorder="1" applyAlignment="1">
      <alignment vertical="center" wrapText="1"/>
    </xf>
    <xf numFmtId="4" fontId="22" fillId="3" borderId="0" xfId="0" applyNumberFormat="1" applyFont="1" applyFill="1" applyBorder="1" applyAlignment="1">
      <alignment vertical="center" wrapText="1"/>
    </xf>
    <xf numFmtId="164" fontId="0" fillId="3" borderId="0" xfId="0" applyNumberFormat="1" applyFill="1" applyAlignment="1"/>
    <xf numFmtId="0" fontId="9" fillId="3" borderId="11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vertical="center" wrapText="1"/>
    </xf>
    <xf numFmtId="4" fontId="7" fillId="2" borderId="11" xfId="0" applyNumberFormat="1" applyFont="1" applyFill="1" applyBorder="1" applyAlignment="1">
      <alignment vertical="center" wrapText="1"/>
    </xf>
    <xf numFmtId="4" fontId="12" fillId="0" borderId="0" xfId="0" applyNumberFormat="1" applyFont="1"/>
    <xf numFmtId="0" fontId="3" fillId="3" borderId="11" xfId="0" applyFont="1" applyFill="1" applyBorder="1" applyAlignment="1">
      <alignment horizontal="center" vertical="center" wrapText="1"/>
    </xf>
    <xf numFmtId="4" fontId="9" fillId="3" borderId="11" xfId="0" applyNumberFormat="1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4" fillId="3" borderId="34" xfId="0" applyFont="1" applyFill="1" applyBorder="1" applyAlignment="1">
      <alignment horizontal="center" vertical="center" wrapText="1"/>
    </xf>
    <xf numFmtId="0" fontId="14" fillId="3" borderId="25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left" vertical="center" wrapText="1"/>
    </xf>
    <xf numFmtId="0" fontId="9" fillId="3" borderId="26" xfId="0" applyFont="1" applyFill="1" applyBorder="1" applyAlignment="1">
      <alignment horizontal="left" vertical="center" wrapText="1"/>
    </xf>
    <xf numFmtId="0" fontId="9" fillId="3" borderId="27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right" vertical="center" wrapText="1"/>
    </xf>
    <xf numFmtId="4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/>
    </xf>
    <xf numFmtId="0" fontId="30" fillId="3" borderId="0" xfId="0" applyFont="1" applyFill="1" applyAlignment="1">
      <alignment horizontal="right" wrapText="1"/>
    </xf>
    <xf numFmtId="0" fontId="5" fillId="3" borderId="0" xfId="0" applyFont="1" applyFill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right"/>
    </xf>
    <xf numFmtId="0" fontId="13" fillId="3" borderId="11" xfId="0" applyNumberFormat="1" applyFont="1" applyFill="1" applyBorder="1" applyAlignment="1">
      <alignment horizontal="right" vertical="center" wrapText="1"/>
    </xf>
    <xf numFmtId="0" fontId="13" fillId="3" borderId="18" xfId="0" applyNumberFormat="1" applyFont="1" applyFill="1" applyBorder="1" applyAlignment="1">
      <alignment horizontal="right" vertical="center" wrapText="1"/>
    </xf>
    <xf numFmtId="14" fontId="13" fillId="3" borderId="11" xfId="0" applyNumberFormat="1" applyFont="1" applyFill="1" applyBorder="1" applyAlignment="1">
      <alignment horizontal="right" vertical="center" wrapText="1"/>
    </xf>
    <xf numFmtId="14" fontId="13" fillId="3" borderId="18" xfId="0" applyNumberFormat="1" applyFont="1" applyFill="1" applyBorder="1" applyAlignment="1">
      <alignment horizontal="right" vertical="center" wrapText="1"/>
    </xf>
    <xf numFmtId="0" fontId="13" fillId="3" borderId="11" xfId="0" applyFont="1" applyFill="1" applyBorder="1" applyAlignment="1">
      <alignment horizontal="right" vertical="center" wrapText="1"/>
    </xf>
    <xf numFmtId="0" fontId="13" fillId="3" borderId="18" xfId="0" applyFont="1" applyFill="1" applyBorder="1" applyAlignment="1">
      <alignment horizontal="righ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12" fillId="3" borderId="35" xfId="0" applyFont="1" applyFill="1" applyBorder="1" applyAlignment="1">
      <alignment horizontal="center" wrapText="1"/>
    </xf>
    <xf numFmtId="0" fontId="12" fillId="3" borderId="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left" vertical="center" wrapText="1"/>
    </xf>
    <xf numFmtId="0" fontId="12" fillId="3" borderId="11" xfId="0" applyFont="1" applyFill="1" applyBorder="1" applyAlignment="1">
      <alignment horizontal="right" wrapText="1"/>
    </xf>
    <xf numFmtId="0" fontId="5" fillId="3" borderId="11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right" vertical="center" wrapText="1"/>
    </xf>
    <xf numFmtId="0" fontId="13" fillId="3" borderId="21" xfId="0" applyFont="1" applyFill="1" applyBorder="1" applyAlignment="1">
      <alignment horizontal="right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6" fillId="3" borderId="12" xfId="0" applyFont="1" applyFill="1" applyBorder="1" applyAlignment="1">
      <alignment horizontal="center" vertical="center" wrapText="1"/>
    </xf>
    <xf numFmtId="0" fontId="36" fillId="3" borderId="13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right" vertical="center" wrapText="1"/>
    </xf>
    <xf numFmtId="0" fontId="9" fillId="3" borderId="27" xfId="0" applyFont="1" applyFill="1" applyBorder="1" applyAlignment="1">
      <alignment horizontal="righ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43" fillId="3" borderId="3" xfId="0" applyFont="1" applyFill="1" applyBorder="1" applyAlignment="1">
      <alignment vertical="center" wrapText="1"/>
    </xf>
    <xf numFmtId="0" fontId="43" fillId="3" borderId="8" xfId="0" applyFont="1" applyFill="1" applyBorder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20" fillId="3" borderId="1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4" fontId="9" fillId="3" borderId="11" xfId="0" applyNumberFormat="1" applyFont="1" applyFill="1" applyBorder="1" applyAlignment="1">
      <alignment vertical="center" wrapText="1"/>
    </xf>
    <xf numFmtId="2" fontId="9" fillId="3" borderId="12" xfId="0" applyNumberFormat="1" applyFont="1" applyFill="1" applyBorder="1" applyAlignment="1">
      <alignment vertical="center" wrapText="1"/>
    </xf>
    <xf numFmtId="2" fontId="9" fillId="3" borderId="13" xfId="0" applyNumberFormat="1" applyFont="1" applyFill="1" applyBorder="1" applyAlignment="1">
      <alignment vertical="center" wrapText="1"/>
    </xf>
    <xf numFmtId="0" fontId="5" fillId="3" borderId="34" xfId="0" applyFont="1" applyFill="1" applyBorder="1" applyAlignment="1">
      <alignment horizontal="center" wrapText="1"/>
    </xf>
    <xf numFmtId="0" fontId="5" fillId="3" borderId="25" xfId="0" applyFont="1" applyFill="1" applyBorder="1" applyAlignment="1">
      <alignment horizontal="center" wrapText="1"/>
    </xf>
    <xf numFmtId="0" fontId="12" fillId="3" borderId="11" xfId="0" applyFont="1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23" fillId="3" borderId="0" xfId="0" applyFont="1" applyFill="1" applyAlignment="1">
      <alignment horizontal="right" wrapText="1"/>
    </xf>
    <xf numFmtId="0" fontId="23" fillId="3" borderId="0" xfId="0" applyFont="1" applyFill="1" applyAlignment="1">
      <alignment horizontal="right"/>
    </xf>
    <xf numFmtId="0" fontId="5" fillId="3" borderId="0" xfId="0" applyFont="1" applyFill="1" applyBorder="1" applyAlignment="1">
      <alignment horizontal="center"/>
    </xf>
    <xf numFmtId="0" fontId="11" fillId="3" borderId="11" xfId="0" applyFont="1" applyFill="1" applyBorder="1" applyAlignment="1">
      <alignment vertical="center" wrapText="1"/>
    </xf>
    <xf numFmtId="0" fontId="36" fillId="3" borderId="11" xfId="0" applyFont="1" applyFill="1" applyBorder="1" applyAlignment="1">
      <alignment horizontal="right"/>
    </xf>
    <xf numFmtId="0" fontId="10" fillId="3" borderId="0" xfId="0" applyFont="1" applyFill="1" applyAlignment="1">
      <alignment horizontal="center"/>
    </xf>
    <xf numFmtId="0" fontId="5" fillId="3" borderId="28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5" fillId="3" borderId="27" xfId="0" applyFont="1" applyFill="1" applyBorder="1" applyAlignment="1">
      <alignment horizontal="center"/>
    </xf>
    <xf numFmtId="0" fontId="12" fillId="3" borderId="41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0" fontId="12" fillId="3" borderId="42" xfId="0" applyFont="1" applyFill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2" fillId="3" borderId="4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vertical="center" wrapText="1"/>
    </xf>
    <xf numFmtId="0" fontId="12" fillId="3" borderId="28" xfId="0" applyFont="1" applyFill="1" applyBorder="1" applyAlignment="1">
      <alignment horizontal="right"/>
    </xf>
    <xf numFmtId="0" fontId="12" fillId="3" borderId="26" xfId="0" applyFont="1" applyFill="1" applyBorder="1" applyAlignment="1">
      <alignment horizontal="right"/>
    </xf>
    <xf numFmtId="0" fontId="12" fillId="3" borderId="27" xfId="0" applyFont="1" applyFill="1" applyBorder="1" applyAlignment="1">
      <alignment horizontal="right"/>
    </xf>
    <xf numFmtId="4" fontId="12" fillId="3" borderId="28" xfId="0" applyNumberFormat="1" applyFont="1" applyFill="1" applyBorder="1" applyAlignment="1">
      <alignment horizontal="right"/>
    </xf>
    <xf numFmtId="4" fontId="12" fillId="3" borderId="26" xfId="0" applyNumberFormat="1" applyFont="1" applyFill="1" applyBorder="1" applyAlignment="1">
      <alignment horizontal="right"/>
    </xf>
    <xf numFmtId="4" fontId="12" fillId="3" borderId="27" xfId="0" applyNumberFormat="1" applyFont="1" applyFill="1" applyBorder="1" applyAlignment="1">
      <alignment horizontal="right"/>
    </xf>
    <xf numFmtId="0" fontId="36" fillId="0" borderId="12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3" borderId="35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0" fontId="23" fillId="0" borderId="0" xfId="0" applyFont="1" applyAlignment="1">
      <alignment horizontal="right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right"/>
    </xf>
    <xf numFmtId="0" fontId="12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0" fontId="4" fillId="2" borderId="11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4" fontId="9" fillId="0" borderId="11" xfId="0" applyNumberFormat="1" applyFont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4" fontId="9" fillId="2" borderId="11" xfId="0" applyNumberFormat="1" applyFont="1" applyFill="1" applyBorder="1" applyAlignment="1">
      <alignment vertical="center" wrapText="1"/>
    </xf>
    <xf numFmtId="0" fontId="14" fillId="3" borderId="34" xfId="0" applyFont="1" applyFill="1" applyBorder="1" applyAlignment="1">
      <alignment horizontal="center" vertical="center" wrapText="1"/>
    </xf>
    <xf numFmtId="0" fontId="14" fillId="3" borderId="25" xfId="0" applyFont="1" applyFill="1" applyBorder="1" applyAlignment="1">
      <alignment horizontal="center" vertical="center" wrapText="1"/>
    </xf>
    <xf numFmtId="4" fontId="0" fillId="0" borderId="0" xfId="0" applyNumberFormat="1" applyAlignment="1"/>
    <xf numFmtId="0" fontId="23" fillId="0" borderId="11" xfId="0" applyFont="1" applyBorder="1" applyAlignment="1">
      <alignment horizontal="right" wrapText="1"/>
    </xf>
    <xf numFmtId="0" fontId="23" fillId="0" borderId="11" xfId="0" applyFont="1" applyBorder="1" applyAlignment="1">
      <alignment horizontal="right"/>
    </xf>
    <xf numFmtId="0" fontId="0" fillId="0" borderId="11" xfId="0" applyBorder="1"/>
    <xf numFmtId="0" fontId="5" fillId="0" borderId="11" xfId="0" applyFont="1" applyBorder="1" applyAlignment="1">
      <alignment horizontal="center"/>
    </xf>
    <xf numFmtId="0" fontId="14" fillId="3" borderId="11" xfId="0" applyFont="1" applyFill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2" fontId="12" fillId="3" borderId="11" xfId="0" applyNumberFormat="1" applyFont="1" applyFill="1" applyBorder="1"/>
    <xf numFmtId="0" fontId="1" fillId="0" borderId="11" xfId="0" applyFont="1" applyBorder="1" applyAlignment="1">
      <alignment horizontal="center" vertical="center"/>
    </xf>
    <xf numFmtId="0" fontId="19" fillId="2" borderId="11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vertical="center" wrapText="1"/>
    </xf>
    <xf numFmtId="0" fontId="10" fillId="0" borderId="11" xfId="0" applyFont="1" applyBorder="1" applyAlignment="1">
      <alignment horizontal="center"/>
    </xf>
    <xf numFmtId="2" fontId="9" fillId="3" borderId="11" xfId="0" applyNumberFormat="1" applyFont="1" applyFill="1" applyBorder="1" applyAlignment="1">
      <alignment vertical="center" wrapText="1"/>
    </xf>
    <xf numFmtId="164" fontId="12" fillId="3" borderId="11" xfId="0" applyNumberFormat="1" applyFont="1" applyFill="1" applyBorder="1"/>
    <xf numFmtId="0" fontId="7" fillId="3" borderId="11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horizontal="left" vertical="center" wrapText="1"/>
    </xf>
    <xf numFmtId="14" fontId="13" fillId="3" borderId="18" xfId="0" applyNumberFormat="1" applyFont="1" applyFill="1" applyBorder="1" applyAlignment="1">
      <alignment vertical="center" wrapText="1"/>
    </xf>
    <xf numFmtId="0" fontId="32" fillId="3" borderId="11" xfId="0" applyFont="1" applyFill="1" applyBorder="1" applyAlignment="1">
      <alignment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left" vertical="center" wrapText="1"/>
    </xf>
    <xf numFmtId="0" fontId="9" fillId="3" borderId="29" xfId="0" applyFont="1" applyFill="1" applyBorder="1" applyAlignment="1">
      <alignment horizontal="left" vertical="center" wrapText="1"/>
    </xf>
    <xf numFmtId="0" fontId="13" fillId="3" borderId="18" xfId="0" applyFont="1" applyFill="1" applyBorder="1" applyAlignment="1">
      <alignment vertical="center" wrapText="1"/>
    </xf>
    <xf numFmtId="0" fontId="14" fillId="3" borderId="18" xfId="0" applyFont="1" applyFill="1" applyBorder="1" applyAlignment="1">
      <alignment vertical="center" wrapText="1"/>
    </xf>
    <xf numFmtId="0" fontId="12" fillId="3" borderId="17" xfId="0" applyFont="1" applyFill="1" applyBorder="1" applyAlignment="1">
      <alignment horizontal="center"/>
    </xf>
    <xf numFmtId="0" fontId="12" fillId="3" borderId="31" xfId="0" applyFont="1" applyFill="1" applyBorder="1" applyAlignment="1">
      <alignment wrapText="1"/>
    </xf>
    <xf numFmtId="0" fontId="12" fillId="3" borderId="26" xfId="0" applyFont="1" applyFill="1" applyBorder="1" applyAlignment="1">
      <alignment wrapText="1"/>
    </xf>
    <xf numFmtId="0" fontId="12" fillId="3" borderId="29" xfId="0" applyFont="1" applyFill="1" applyBorder="1" applyAlignment="1">
      <alignment wrapText="1"/>
    </xf>
    <xf numFmtId="0" fontId="2" fillId="3" borderId="1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33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vertical="center" wrapText="1"/>
    </xf>
    <xf numFmtId="0" fontId="11" fillId="3" borderId="18" xfId="0" applyFont="1" applyFill="1" applyBorder="1" applyAlignment="1">
      <alignment vertical="center" wrapText="1"/>
    </xf>
    <xf numFmtId="14" fontId="11" fillId="3" borderId="18" xfId="0" applyNumberFormat="1" applyFont="1" applyFill="1" applyBorder="1" applyAlignment="1">
      <alignment vertical="center" wrapText="1"/>
    </xf>
    <xf numFmtId="0" fontId="36" fillId="3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theme" Target="theme/theme1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2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externalLink" Target="externalLinks/externalLink30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externalLink" Target="externalLinks/externalLink2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externalLink" Target="externalLinks/externalLink3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77;&#1082;&#1091;&#1097;&#1080;&#1081;%20&#1088;&#1077;&#1084;&#1086;&#1085;&#1090;%2025/&#1059;&#1090;&#1074;&#1077;&#1088;&#1078;&#1076;&#1077;&#1085;%20&#1055;&#1083;&#1072;&#1085;%20&#1090;&#1077;&#1082;&#1091;&#1097;&#1077;&#1075;&#1086;%20&#1088;&#1077;&#1084;&#1086;&#1085;&#1090;&#1072;%20&#1059;&#1050;%20&#1040;&#1069;&#1083;&#1080;&#1090;&#1072;%20&#1085;&#1072;%202025&#1075;&#1086;&#1076;%20&#1050;.&#1041;.%2040&#1041;,&#1042;,&#1043;,&#1044;.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2%20&#1043;&#1086;&#1076;&#1086;&#1074;&#1099;&#1081;%20&#1086;&#1090;&#1095;&#1077;&#1090;&#1099;/&#1043;&#1086;&#1076;&#1086;&#1074;&#1086;&#1081;%20&#1086;&#1090;&#1095;&#1077;&#1090;%202024&#1075;/&#1054;&#1090;&#1095;&#1077;&#1090;%20&#1076;&#1086;&#1075;&#1086;&#1074;&#1086;&#1088;%20&#1091;&#1087;&#1088;&#1072;&#1074;&#1083;&#1077;&#1085;&#1080;&#1103;%20&#1052;&#1050;&#1044;%20&#1086;&#1090;&#1095;&#1077;&#1090;&#1072;%20&#1075;&#1086;&#1076;&#1086;&#1074;&#1086;&#1075;&#1086;%20&#1074;&#1089;&#1077;%20&#1076;&#1086;&#1084;&#1072;%20202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2;&#1090;%20&#1087;&#1086;%20&#1090;&#1077;&#1082;&#1091;&#1097;&#1077;&#1084;&#1091;%20&#1088;&#1077;&#1084;&#1086;&#1085;&#1090;&#1091;%2025%20&#1075;&#1086;&#1076;%20&#1074;&#1089;&#1077;%20&#1076;&#1086;&#1084;&#107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86;&#1074;&#1072;&#1103;%20&#1092;&#1086;&#1088;&#1084;&#1072;%20&#1086;&#1090;&#1095;&#1077;&#1090;&#1072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41;&#1091;&#1093;&#1075;&#1072;&#1083;&#1090;&#1077;&#1088;&#1080;&#1103;%20&#1064;&#1077;&#1089;&#1090;&#1072;&#1082;&#1086;&#1074;&#1072;%20&#1054;.&#1040;/&#1057;&#1042;&#1054;&#1044;&#1053;&#1067;&#1045;%20&#1042;&#1045;&#1044;&#1054;&#1052;&#1054;&#1057;&#1058;&#1048;/2025/&#1057;&#1042;%20&#1050;&#1041;40&#1042;%202025%20&#1046;&#1050;&#1059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87;&#1083;&#1072;&#1090;&#1072;%20&#1089;&#1090;&#1086;&#1088;&#1086;&#1085;&#1085;&#1080;&#1093;%20&#1086;&#1088;&#1075;&#1072;&#1085;&#1080;&#1079;&#1072;&#1094;&#1080;&#1081;%20&#1089;%202019&#1092;&#1072;&#1082;&#1090;%2025&#1075;.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41;&#1091;&#1093;&#1075;&#1072;&#1083;&#1090;&#1077;&#1088;&#1080;&#1103;%20&#1064;&#1077;&#1089;&#1090;&#1072;&#1082;&#1086;&#1074;&#1072;%20&#1054;.&#1040;/&#1057;&#1042;&#1054;&#1044;&#1053;&#1067;&#1045;%20&#1042;&#1045;&#1044;&#1054;&#1052;&#1054;&#1057;&#1058;&#1048;/2025/&#1050;&#1057;&#1042;%20&#1050;&#1041;40&#1042;%202025%20&#1050;&#1056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6;&#1072;&#1085;&#1085;&#1099;&#1077;%20&#1087;&#1086;%20&#1089;&#1087;&#1077;&#1094;%20&#1089;&#1095;&#1077;&#1090;&#1072;&#1084;/&#1047;&#1072;&#1087;&#1088;&#1086;&#1089;%20&#1087;&#1086;%20&#1089;&#1087;&#1077;&#1094;&#1089;&#1095;&#1077;&#1090;&#1091;%2040&#1042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41;&#1091;&#1093;&#1075;&#1072;&#1083;&#1090;&#1077;&#1088;&#1080;&#1103;%20&#1064;&#1077;&#1089;&#1090;&#1072;&#1082;&#1086;&#1074;&#1072;%20&#1054;.&#1040;/&#1057;&#1042;&#1054;&#1044;&#1053;&#1067;&#1045;%20&#1042;&#1045;&#1044;&#1054;&#1052;&#1054;&#1057;&#1058;&#1048;/2025/&#1057;&#1042;%20&#1050;&#1041;40&#1043;%202025%20&#1046;&#1050;&#1059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41;&#1091;&#1093;&#1075;&#1072;&#1083;&#1090;&#1077;&#1088;&#1080;&#1103;%20&#1064;&#1077;&#1089;&#1090;&#1072;&#1082;&#1086;&#1074;&#1072;%20&#1054;.&#1040;/&#1057;&#1042;&#1054;&#1044;&#1053;&#1067;&#1045;%20&#1042;&#1045;&#1044;&#1054;&#1052;&#1054;&#1057;&#1058;&#1048;/2025/&#1057;&#1042;%20&#1050;&#1041;40&#1043;%202025%20&#1050;&#1056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6;&#1072;&#1085;&#1085;&#1099;&#1077;%20&#1087;&#1086;%20&#1089;&#1087;&#1077;&#1094;%20&#1089;&#1095;&#1077;&#1090;&#1072;&#1084;/&#1047;&#1072;&#1087;&#1088;&#1086;&#1089;%20&#1087;&#1086;%20&#1089;&#1087;&#1077;&#1094;&#1089;&#1095;&#1077;&#1090;&#1091;%2040&#104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77;&#1081;&#1089;&#1090;&#1074;&#1091;&#1102;&#1097;&#1080;&#1077;%20&#1090;&#1072;&#1088;&#1080;&#1092;&#1099;%20&#1046;&#1050;&#1061;%20&#1087;&#1086;%20&#1054;&#1054;&#1054;%20&#1059;&#1050;%20&#1040;-&#1069;&#1083;&#1080;&#1090;&#1072;%20%20&#1076;&#1086;%2001%20&#1080;&#1102;&#1083;&#1103;%202025&#1075;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41;&#1091;&#1093;&#1075;&#1072;&#1083;&#1090;&#1077;&#1088;&#1080;&#1103;%20&#1064;&#1077;&#1089;&#1090;&#1072;&#1082;&#1086;&#1074;&#1072;%20&#1054;.&#1040;/&#1057;&#1042;&#1054;&#1044;&#1053;&#1067;&#1045;%20&#1042;&#1045;&#1044;&#1054;&#1052;&#1054;&#1057;&#1058;&#1048;/2025/&#1057;&#1042;%20&#1050;&#1041;40&#1044;%202025%20&#1046;&#1050;&#1059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41;&#1091;&#1093;&#1075;&#1072;&#1083;&#1090;&#1077;&#1088;&#1080;&#1103;%20&#1064;&#1077;&#1089;&#1090;&#1072;&#1082;&#1086;&#1074;&#1072;%20&#1054;.&#1040;/&#1057;&#1042;&#1054;&#1044;&#1053;&#1067;&#1045;%20&#1042;&#1045;&#1044;&#1054;&#1052;&#1054;&#1057;&#1058;&#1048;/2025/&#1050;&#1057;&#1042;%20&#1050;&#1041;40&#1044;%202025%20&#1050;&#1056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6;&#1072;&#1085;&#1085;&#1099;&#1077;%20&#1087;&#1086;%20&#1089;&#1087;&#1077;&#1094;%20&#1089;&#1095;&#1077;&#1090;&#1072;&#1084;/&#1047;&#1072;&#1087;&#1088;&#1086;&#1089;%20&#1087;&#1086;%20&#1089;&#1087;&#1077;&#1094;&#1089;&#1095;&#1077;&#1090;&#1091;%20&#1050;&#1041;40&#1044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77;&#1082;&#1091;&#1097;&#1080;&#1081;%20&#1088;&#1077;&#1084;&#1086;&#1085;&#1090;%2025/&#1055;&#1083;&#1072;&#1085;%20&#1090;&#1077;&#1082;&#1091;&#1097;&#1077;&#1075;&#1086;%20&#1088;&#1077;&#1084;&#1086;&#1085;&#1090;&#1072;%20&#1050;&#1041;61&#1074;%20&#1085;&#1072;%202025%20&#1075;&#1086;&#1076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2%20&#1043;&#1086;&#1076;&#1086;&#1074;&#1099;&#1081;%20&#1086;&#1090;&#1095;&#1077;&#1090;&#1099;/&#1043;&#1086;&#1076;&#1086;&#1074;&#1086;&#1081;%20&#1086;&#1090;&#1095;&#1077;&#1090;%202024&#1075;/&#1054;&#1057;&#1042;%202024/&#1054;&#1057;&#1042;%20&#1050;&#1041;40&#1044;%20&#1046;&#1050;&#1059;%202024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2%20&#1043;&#1086;&#1076;&#1086;&#1074;&#1099;&#1081;%20&#1086;&#1090;&#1095;&#1077;&#1090;&#1099;/&#1043;&#1086;&#1076;&#1086;&#1074;&#1086;&#1081;%20&#1086;&#1090;&#1095;&#1077;&#1090;%202024&#1075;/&#1054;&#1057;&#1042;%202024/&#1054;&#1057;&#1042;%20&#1050;&#1041;40&#1042;%20&#1046;&#1050;&#1059;%20202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41;&#1091;&#1093;&#1075;&#1072;&#1083;&#1090;&#1077;&#1088;&#1080;&#1103;%20&#1064;&#1077;&#1089;&#1090;&#1072;&#1082;&#1086;&#1074;&#1072;%20&#1054;.&#1040;/&#1057;&#1042;&#1054;&#1044;&#1053;&#1067;&#1045;%20&#1042;&#1045;&#1044;&#1054;&#1052;&#1054;&#1057;&#1058;&#1048;/2025/&#1057;&#1042;%20&#1050;&#1041;61&#1042;%202025%20&#1046;&#1050;&#1059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2%20&#1043;&#1086;&#1076;&#1086;&#1074;&#1099;&#1081;%20&#1086;&#1090;&#1095;&#1077;&#1090;&#1099;/&#1043;&#1086;&#1076;&#1086;&#1074;&#1086;&#1081;%20&#1086;&#1090;&#1095;&#1077;&#1090;%202024&#1075;/&#1055;&#1083;&#1072;&#1085;%20&#1088;&#1072;&#1073;&#1086;&#1090;%20%20&#1090;&#1077;&#1082;&#1091;&#1097;&#1080;&#1081;%20&#1088;&#1077;&#1084;&#1086;&#1085;&#1090;%20&#1052;&#1050;&#1044;%20&#1052;&#1080;&#1088;&#1072;122-2%202024%20&#1075;&#1086;&#1076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41;&#1091;&#1093;&#1075;&#1072;&#1083;&#1090;&#1077;&#1088;&#1080;&#1103;%20&#1064;&#1077;&#1089;&#1090;&#1072;&#1082;&#1086;&#1074;&#1072;%20&#1054;.&#1040;/&#1057;&#1042;&#1054;&#1044;&#1053;&#1067;&#1045;%20&#1042;&#1045;&#1044;&#1054;&#1052;&#1054;&#1057;&#1058;&#1048;/2025/&#1057;&#1042;%20&#1052;&#1080;&#1088;&#1072;122%202025%20&#1046;&#1050;&#1059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2%20&#1043;&#1086;&#1076;&#1086;&#1074;&#1099;&#1081;%20&#1086;&#1090;&#1095;&#1077;&#1090;&#1099;/&#1043;&#1086;&#1076;&#1086;&#1074;&#1086;&#1081;%20&#1086;&#1090;&#1095;&#1077;&#1090;%202026&#1075;/&#1044;&#1077;&#1081;&#1089;&#1090;&#1074;&#1091;&#1102;&#1097;&#1080;&#1077;%20&#1090;&#1072;&#1088;&#1080;&#1092;&#1099;%20&#1046;&#1050;&#1061;%20&#1087;&#1086;%20&#1054;&#1054;&#1054;%20&#1059;&#1050;%20&#1040;-&#1069;&#1083;&#1080;&#1090;&#1072;%20%20&#1089;%2001.01.2026&#1075;.&#1087;&#1088;&#1086;&#1077;&#1082;&#10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41;&#1091;&#1093;&#1075;&#1072;&#1083;&#1090;&#1077;&#1088;&#1080;&#1103;%20&#1064;&#1077;&#1089;&#1090;&#1072;&#1082;&#1086;&#1074;&#1072;%20&#1054;.&#1040;/&#1057;&#1042;&#1054;&#1044;&#1053;&#1067;&#1045;%20&#1042;&#1045;&#1044;&#1054;&#1052;&#1054;&#1057;&#1058;&#1048;/2025/&#1057;&#1042;%20&#1050;&#1041;40&#1041;%202025%20&#1046;&#1050;&#1059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41;&#1091;&#1093;&#1075;&#1072;&#1083;&#1090;&#1077;&#1088;&#1080;&#1103;%20&#1064;&#1077;&#1089;&#1090;&#1072;&#1082;&#1086;&#1074;&#1072;%20&#1054;.&#1040;/&#1057;&#1042;&#1054;&#1044;&#1053;&#1067;&#1045;%20&#1042;&#1045;&#1044;&#1054;&#1052;&#1054;&#1057;&#1058;&#1048;/2025/&#1057;&#1042;%20&#1064;&#1050;104%202025%20&#1046;&#1050;&#1059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53;&#1086;&#1074;&#1099;&#1077;%20&#1086;&#1073;&#1098;&#1077;&#1082;&#1090;&#1099;/&#1064;.&#1050;&#1086;&#1089;&#1084;&#1086;&#1085;&#1072;&#1074;&#1090;&#1086;&#1074;%20104/&#1044;&#1086;&#1075;&#1086;&#1074;&#1086;&#1088;&#1072;/&#1040;&#1088;&#1089;&#1077;&#1085;&#1100;&#1077;&#1074;%20&#1089;&#1086;&#1074;&#1077;&#1090;%20&#1076;&#1086;&#1084;&#1072;/&#1088;&#1072;&#1089;&#1095;&#1077;&#1090;&#1099;%20&#1087;&#1086;%20&#1091;&#1089;&#1083;&#1091;&#1075;&#1072;&#1084;%20&#1040;&#1088;&#1089;&#1077;&#1085;&#1100;&#1077;&#1074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2;&#1090;%20&#1087;&#1086;%20&#1090;&#1077;&#1082;&#1091;&#1097;&#1077;&#1084;&#1091;%20&#1088;&#1077;&#1084;&#1086;&#1085;&#1090;&#1091;%2025%20&#1075;&#1086;&#1076;%20&#1074;&#1089;&#1077;%20&#1076;&#1086;&#1084;&#1072;%20&#1086;&#1090;%2013.03.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41;&#1091;&#1093;&#1075;&#1072;&#1083;&#1090;&#1077;&#1088;&#1080;&#1103;%20&#1064;&#1077;&#1089;&#1090;&#1072;&#1082;&#1086;&#1074;&#1072;%20&#1054;.&#1040;/&#1057;&#1042;&#1054;&#1044;&#1053;&#1067;&#1045;%20&#1042;&#1045;&#1044;&#1054;&#1052;&#1054;&#1057;&#1058;&#1048;/&#1054;&#1041;&#1065;&#1040;&#1071;%20&#1047;&#1040;%202023%20&#1046;&#1050;&#1059;/&#1041;&#1077;&#1083;&#1103;&#1077;&#1074;&#1072;%2040-&#104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8;&#1072;&#1089;&#1093;&#1086;&#1076;&#1099;%20&#1085;&#1072;%20&#1089;&#1086;&#1076;&#1077;&#1088;&#1078;&#1072;&#1085;&#1080;&#1077;%20&#1090;&#1077;&#1088;&#1088;&#1080;&#1090;&#1086;&#1088;&#1080;&#1080;%20&#1087;&#1072;&#1088;&#1082;&#1086;&#1074;&#1082;&#1080;%2025&#1075;.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41;&#1091;&#1093;&#1075;&#1072;&#1083;&#1090;&#1077;&#1088;&#1080;&#1103;%20&#1064;&#1077;&#1089;&#1090;&#1072;&#1082;&#1086;&#1074;&#1072;%20&#1054;.&#1040;/1&#1057;&#1042;&#1045;&#1056;&#1050;&#1040;%20&#1056;&#1057;&#1054;%20&#1048;%20&#1053;&#1040;&#1063;&#1048;&#1057;&#1051;&#1045;&#1053;&#1048;&#1049;/&#1057;&#1074;&#1077;&#1088;&#1082;&#1072;%20&#1057;&#1054;&#1048;%20&#1080;%20&#1085;&#1072;&#1095;&#1080;&#1089;&#1083;&#1077;&#1085;&#1080;&#1081;%20&#1056;&#1057;&#1054;%2025&#1075;/&#1050;&#1086;&#1087;&#1080;&#1103;%20&#1050;&#1086;&#1087;&#1080;&#1103;%20&#1089;&#1074;&#1077;&#1088;&#1082;&#1072;%20&#1101;&#1083;%20&#1101;&#1085;&#1077;&#1088;&#1075;&#1080;&#1103;%2025&#1075;.%20&#1057;&#1054;&#1048;%20%20&#1080;%20&#1080;&#1085;&#1076;%20&#1086;&#1090;%2024.02.2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2%20&#1043;&#1086;&#1076;&#1086;&#1074;&#1099;&#1081;%20&#1086;&#1090;&#1095;&#1077;&#1090;&#1099;/&#1043;&#1086;&#1076;&#1086;&#1074;&#1086;&#1081;%20&#1086;&#1090;&#1095;&#1077;&#1090;%202023/&#1090;&#1077;&#1082;&#1091;&#1097;&#1080;&#1081;%20&#1088;&#1077;&#1084;&#1086;&#1085;&#1090;%2023/&#1040;&#1082;&#1090;%20&#1087;&#1086;%20&#1090;&#1077;&#1082;&#1091;&#1097;&#1077;&#1084;&#1091;%20&#1088;&#1077;&#1084;&#1086;&#1085;&#1090;&#1091;%2023&#1075;&#1086;&#1076;%20&#1074;&#1089;&#1077;%20&#1076;&#1086;&#1084;&#1072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2%20&#1043;&#1086;&#1076;&#1086;&#1074;&#1099;&#1081;%20&#1086;&#1090;&#1095;&#1077;&#1090;&#1099;/&#1043;&#1086;&#1076;&#1086;&#1074;&#1086;&#1081;%20&#1086;&#1090;&#1095;&#1077;&#1090;%202024&#1075;/&#1054;&#1057;&#1042;%202024/&#1054;&#1057;&#1042;%20&#1050;&#1041;40&#1041;%20&#1082;&#1072;&#1087;.&#1088;&#1077;&#1084;&#1086;&#1085;&#109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КД К.Беляева 40 Б"/>
      <sheetName val="МКД К.Беляева 40В"/>
      <sheetName val="МКД К.Беляева 40 Г"/>
      <sheetName val="МКД К.Беляева 40 Д"/>
      <sheetName val="ТК МКД К.Беляева 40 Б"/>
      <sheetName val="ТК МКД К.Беляева 40 В"/>
      <sheetName val="ТК МКД К.Беляева 40 Г"/>
      <sheetName val="ТК МКД К.Беляева 40 Д"/>
      <sheetName val="ОпцииПеречня"/>
      <sheetName val="conf"/>
    </sheetNames>
    <sheetDataSet>
      <sheetData sheetId="0">
        <row r="5">
          <cell r="B5">
            <v>1.0518E-2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Б40Б"/>
      <sheetName val="КБ40В"/>
      <sheetName val="КБ40Г"/>
      <sheetName val="КБ40Д"/>
      <sheetName val="КБ61В"/>
      <sheetName val="МИра122-2"/>
      <sheetName val="ШК104"/>
    </sheetNames>
    <sheetDataSet>
      <sheetData sheetId="0">
        <row r="373">
          <cell r="D373">
            <v>10652976.189999999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К104"/>
      <sheetName val="Мира 122-2"/>
      <sheetName val="К. Беляева 61в"/>
      <sheetName val="К. Беляева 40Б"/>
      <sheetName val="К. Беляева 40В"/>
      <sheetName val="К. Беляева 40Г"/>
      <sheetName val="К. Беляева 40Д"/>
    </sheetNames>
    <sheetDataSet>
      <sheetData sheetId="0"/>
      <sheetData sheetId="1"/>
      <sheetData sheetId="2"/>
      <sheetData sheetId="3">
        <row r="19">
          <cell r="D19">
            <v>1952695.87</v>
          </cell>
        </row>
        <row r="21">
          <cell r="D21">
            <v>3416455.3434207439</v>
          </cell>
        </row>
        <row r="22">
          <cell r="D22">
            <v>724457.08657925634</v>
          </cell>
        </row>
      </sheetData>
      <sheetData sheetId="4">
        <row r="84">
          <cell r="D84">
            <v>-155865.89978962811</v>
          </cell>
        </row>
      </sheetData>
      <sheetData sheetId="5"/>
      <sheetData sheetId="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Б40Б"/>
      <sheetName val="КБ40В"/>
      <sheetName val="Кб40Г"/>
      <sheetName val="КБ40Д"/>
      <sheetName val="КБ61в"/>
      <sheetName val="ШК104"/>
      <sheetName val="МИра122-2"/>
    </sheetNames>
    <sheetDataSet>
      <sheetData sheetId="0">
        <row r="3">
          <cell r="H3">
            <v>85551.884418720001</v>
          </cell>
        </row>
        <row r="27">
          <cell r="L27">
            <v>2415690.3791999999</v>
          </cell>
        </row>
        <row r="30">
          <cell r="H30">
            <v>898223.99280000001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402">
          <cell r="U402">
            <v>3877306.08</v>
          </cell>
          <cell r="BD402">
            <v>12453596.630000001</v>
          </cell>
          <cell r="BG402">
            <v>1055291.76</v>
          </cell>
        </row>
        <row r="404">
          <cell r="H404">
            <v>40627.33</v>
          </cell>
          <cell r="J404">
            <v>628056.57999999996</v>
          </cell>
          <cell r="K404">
            <v>76982.720000000001</v>
          </cell>
          <cell r="L404">
            <v>25034.71</v>
          </cell>
          <cell r="M404">
            <v>83937.34</v>
          </cell>
          <cell r="Q404">
            <v>2823616.3</v>
          </cell>
          <cell r="T404">
            <v>385707.02</v>
          </cell>
          <cell r="U404">
            <v>3889543.32</v>
          </cell>
          <cell r="V404">
            <v>632172.68000000005</v>
          </cell>
          <cell r="X404">
            <v>25034.82</v>
          </cell>
          <cell r="Y404">
            <v>25034.82</v>
          </cell>
          <cell r="Z404">
            <v>903322.51</v>
          </cell>
          <cell r="AA404">
            <v>-335826.7</v>
          </cell>
          <cell r="AB404">
            <v>-335826.7</v>
          </cell>
          <cell r="AI404">
            <v>614127.81000000006</v>
          </cell>
          <cell r="AJ404">
            <v>71581.38</v>
          </cell>
          <cell r="AO404">
            <v>1932497</v>
          </cell>
          <cell r="AP404">
            <v>135418.95000000001</v>
          </cell>
          <cell r="AQ404">
            <v>2858034.05</v>
          </cell>
          <cell r="AR404">
            <v>35100</v>
          </cell>
          <cell r="AT404">
            <v>394963.97</v>
          </cell>
          <cell r="AU404">
            <v>4026938.27</v>
          </cell>
          <cell r="AV404">
            <v>510799.6</v>
          </cell>
          <cell r="AW404">
            <v>21875.25</v>
          </cell>
          <cell r="AY404">
            <v>798404.82</v>
          </cell>
          <cell r="BA404">
            <v>-335263.45</v>
          </cell>
          <cell r="BF404"/>
        </row>
        <row r="406">
          <cell r="U406">
            <v>3209063.5297690802</v>
          </cell>
        </row>
        <row r="407">
          <cell r="U407">
            <v>680479.79023091961</v>
          </cell>
          <cell r="AU407">
            <v>704517.18461448129</v>
          </cell>
        </row>
        <row r="410">
          <cell r="AU410">
            <v>745615.55</v>
          </cell>
        </row>
        <row r="412">
          <cell r="AU412">
            <v>5140137.0199999996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"/>
      <sheetName val="2019"/>
      <sheetName val="2020"/>
      <sheetName val="2021"/>
      <sheetName val="2022"/>
      <sheetName val="2023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5">
          <cell r="O85">
            <v>500</v>
          </cell>
        </row>
        <row r="88">
          <cell r="L88">
            <v>24000</v>
          </cell>
          <cell r="M88">
            <v>19200</v>
          </cell>
          <cell r="O88">
            <v>18000</v>
          </cell>
        </row>
        <row r="89">
          <cell r="O89">
            <v>18000</v>
          </cell>
        </row>
        <row r="91">
          <cell r="J91">
            <v>7200</v>
          </cell>
        </row>
        <row r="93">
          <cell r="Q93">
            <v>300</v>
          </cell>
        </row>
        <row r="94">
          <cell r="Q94">
            <v>45000</v>
          </cell>
        </row>
        <row r="97">
          <cell r="I97">
            <v>113200</v>
          </cell>
          <cell r="O97">
            <v>36500</v>
          </cell>
          <cell r="Q97">
            <v>51300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237">
          <cell r="G237">
            <v>2322575.6800000002</v>
          </cell>
          <cell r="H237">
            <v>2525427.11</v>
          </cell>
          <cell r="I237">
            <v>2582838.71</v>
          </cell>
          <cell r="J237">
            <v>2265164.08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татки на счете"/>
      <sheetName val="Информация по помещению"/>
      <sheetName val="Зачисление средств"/>
      <sheetName val="conf"/>
      <sheetName val="Справочник Тип операции"/>
      <sheetName val="Списание средств"/>
      <sheetName val="Справочник Назначение средств"/>
      <sheetName val="Справочник Источник средств"/>
    </sheetNames>
    <sheetDataSet>
      <sheetData sheetId="0">
        <row r="7">
          <cell r="D7">
            <v>11613547.789999999</v>
          </cell>
        </row>
        <row r="8">
          <cell r="E8">
            <v>6879070.2199999997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404">
          <cell r="BJ404">
            <v>1445053.15</v>
          </cell>
        </row>
        <row r="406">
          <cell r="H406">
            <v>39589.01</v>
          </cell>
          <cell r="I406">
            <v>678961.57</v>
          </cell>
          <cell r="J406">
            <v>71327.66</v>
          </cell>
          <cell r="K406">
            <v>30009.31</v>
          </cell>
          <cell r="L406">
            <v>101093.1</v>
          </cell>
          <cell r="M406">
            <v>1.01</v>
          </cell>
          <cell r="O406">
            <v>1881007.53</v>
          </cell>
          <cell r="R406">
            <v>2684547.81</v>
          </cell>
          <cell r="V406">
            <v>3920390.19</v>
          </cell>
          <cell r="W406">
            <v>443105.71</v>
          </cell>
          <cell r="Y406">
            <v>515802.49</v>
          </cell>
          <cell r="Z406">
            <v>30009.97</v>
          </cell>
          <cell r="AA406">
            <v>880984.27</v>
          </cell>
          <cell r="AB406">
            <v>-27422.52</v>
          </cell>
          <cell r="AC406">
            <v>-501728.1</v>
          </cell>
          <cell r="AJ406">
            <v>657179.92000000004</v>
          </cell>
          <cell r="AK406">
            <v>18.34</v>
          </cell>
          <cell r="AL406">
            <v>64599.83</v>
          </cell>
          <cell r="AQ406">
            <v>1904502.78</v>
          </cell>
          <cell r="AR406">
            <v>133428.89000000001</v>
          </cell>
          <cell r="AT406">
            <v>2615308.81</v>
          </cell>
          <cell r="AU406">
            <v>17562.37</v>
          </cell>
          <cell r="AW406">
            <v>706414.13</v>
          </cell>
          <cell r="AX406">
            <v>3970609.76</v>
          </cell>
          <cell r="AY406">
            <v>366521.49</v>
          </cell>
          <cell r="AZ406">
            <v>18181.7</v>
          </cell>
          <cell r="BA406">
            <v>603692.11</v>
          </cell>
          <cell r="BE406">
            <v>-501540.62</v>
          </cell>
        </row>
        <row r="408">
          <cell r="V408">
            <v>3234513.7066614483</v>
          </cell>
        </row>
        <row r="409">
          <cell r="V409">
            <v>685876.48333855171</v>
          </cell>
          <cell r="AX409">
            <v>694662.4511624265</v>
          </cell>
        </row>
        <row r="412">
          <cell r="AX412">
            <v>562992.27999999991</v>
          </cell>
        </row>
        <row r="414">
          <cell r="AX414">
            <v>4335080.28</v>
          </cell>
        </row>
        <row r="418">
          <cell r="AX418">
            <v>11764996.140000001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458">
          <cell r="J458">
            <v>2389414.4300000002</v>
          </cell>
          <cell r="O458">
            <v>2441772.0299999998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татки на счете"/>
      <sheetName val="Информация по помещению"/>
      <sheetName val="Зачисление средств"/>
      <sheetName val="conf"/>
      <sheetName val="Справочник Тип операции"/>
      <sheetName val="Списание средств"/>
      <sheetName val="Справочник Назначение средств"/>
      <sheetName val="Справочник Источник средств"/>
    </sheetNames>
    <sheetDataSet>
      <sheetData sheetId="0">
        <row r="7">
          <cell r="D7">
            <v>9140676.5199999996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Б40Б"/>
      <sheetName val="КБ40В"/>
      <sheetName val="КБ40Г"/>
      <sheetName val="КБ40Д"/>
      <sheetName val="КБ61В"/>
      <sheetName val="ШК104"/>
      <sheetName val="Мира122-2"/>
    </sheetNames>
    <sheetDataSet>
      <sheetData sheetId="0">
        <row r="3">
          <cell r="G3">
            <v>89983.472031609679</v>
          </cell>
        </row>
        <row r="10">
          <cell r="G10">
            <v>1060089.7617000001</v>
          </cell>
        </row>
        <row r="17">
          <cell r="B17">
            <v>6.6099999999999994</v>
          </cell>
          <cell r="G17">
            <v>1027863.0329443202</v>
          </cell>
        </row>
        <row r="28">
          <cell r="G28">
            <v>452870.34619823995</v>
          </cell>
        </row>
        <row r="31">
          <cell r="B31">
            <v>5.0200000000000005</v>
          </cell>
          <cell r="G31">
            <v>851464.09659744019</v>
          </cell>
        </row>
      </sheetData>
      <sheetData sheetId="1"/>
      <sheetData sheetId="2"/>
      <sheetData sheetId="3"/>
      <sheetData sheetId="4"/>
      <sheetData sheetId="5">
        <row r="6">
          <cell r="E6">
            <v>5609.6</v>
          </cell>
        </row>
        <row r="19">
          <cell r="C19">
            <v>6.9104000000000001</v>
          </cell>
        </row>
        <row r="21">
          <cell r="C21">
            <v>7.9</v>
          </cell>
        </row>
      </sheetData>
      <sheetData sheetId="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406">
          <cell r="BH406">
            <v>1810876.23</v>
          </cell>
        </row>
        <row r="408">
          <cell r="H408">
            <v>39743.089999999997</v>
          </cell>
          <cell r="I408">
            <v>689278.95</v>
          </cell>
          <cell r="J408">
            <v>75347.55</v>
          </cell>
          <cell r="K408">
            <v>30067.82</v>
          </cell>
          <cell r="L408">
            <v>101413.47</v>
          </cell>
          <cell r="M408">
            <v>2.72</v>
          </cell>
          <cell r="O408">
            <v>2062199.9</v>
          </cell>
          <cell r="Q408">
            <v>2740863.77</v>
          </cell>
          <cell r="T408">
            <v>651824.52</v>
          </cell>
          <cell r="U408">
            <v>3999755.86</v>
          </cell>
          <cell r="V408">
            <v>532180.16</v>
          </cell>
          <cell r="X408">
            <v>513049.82</v>
          </cell>
          <cell r="Y408">
            <v>30069.94</v>
          </cell>
          <cell r="Z408">
            <v>883201.75</v>
          </cell>
          <cell r="AA408">
            <v>-44039.64</v>
          </cell>
          <cell r="AB408">
            <v>-572708.6</v>
          </cell>
          <cell r="AH408">
            <v>644453.12</v>
          </cell>
          <cell r="AI408">
            <v>2.12</v>
          </cell>
          <cell r="AJ408">
            <v>66761.77</v>
          </cell>
          <cell r="AN408">
            <v>2002432</v>
          </cell>
          <cell r="AO408">
            <v>133456.04</v>
          </cell>
          <cell r="AP408">
            <v>2566793.29</v>
          </cell>
          <cell r="AQ408">
            <v>45811.19</v>
          </cell>
          <cell r="AS408">
            <v>622003.84</v>
          </cell>
          <cell r="AT408">
            <v>3907520.19</v>
          </cell>
          <cell r="AU408">
            <v>403843.35</v>
          </cell>
          <cell r="AV408">
            <v>20772</v>
          </cell>
          <cell r="AX408">
            <v>563423.42000000004</v>
          </cell>
          <cell r="BC408">
            <v>-569697.80000000005</v>
          </cell>
        </row>
        <row r="410">
          <cell r="U410">
            <v>3299994.2672720156</v>
          </cell>
          <cell r="AT410">
            <v>3223895.3270136989</v>
          </cell>
        </row>
        <row r="411">
          <cell r="U411">
            <v>699761.59272798419</v>
          </cell>
          <cell r="AT411">
            <v>683624.8629863013</v>
          </cell>
        </row>
        <row r="414">
          <cell r="AT414">
            <v>437568.34999999974</v>
          </cell>
        </row>
        <row r="416">
          <cell r="AT416">
            <v>4244639.4900000012</v>
          </cell>
        </row>
        <row r="419">
          <cell r="AT419">
            <v>11515164.760000002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244">
          <cell r="G244">
            <v>1356159.69</v>
          </cell>
          <cell r="H244">
            <v>2261921.77</v>
          </cell>
          <cell r="I244">
            <v>2360474.85</v>
          </cell>
          <cell r="J244">
            <v>1257606.6100000001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татки на счете"/>
      <sheetName val="Информация по помещению"/>
      <sheetName val="Зачисление средств"/>
      <sheetName val="conf"/>
      <sheetName val="Справочник Тип операции"/>
      <sheetName val="Списание средств"/>
      <sheetName val="Справочник Назначение средств"/>
      <sheetName val="Справочник Источник средств"/>
    </sheetNames>
    <sheetDataSet>
      <sheetData sheetId="0">
        <row r="7">
          <cell r="D7">
            <v>9822395.2899999991</v>
          </cell>
        </row>
        <row r="8">
          <cell r="E8">
            <v>7761607.8600000003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 работ и услуг"/>
      <sheetName val="Тариф на 25 г"/>
      <sheetName val="Текущий ремонт"/>
      <sheetName val="ОпцииПеречня"/>
      <sheetName val="conf"/>
    </sheetNames>
    <sheetDataSet>
      <sheetData sheetId="0">
        <row r="4">
          <cell r="E4" t="str">
            <v>8065,2</v>
          </cell>
        </row>
        <row r="6">
          <cell r="C6">
            <v>0.83</v>
          </cell>
        </row>
        <row r="7">
          <cell r="C7">
            <v>0.39</v>
          </cell>
        </row>
        <row r="8">
          <cell r="C8">
            <v>2.2200000000000002</v>
          </cell>
        </row>
        <row r="10">
          <cell r="C10">
            <v>2.0099999999999998</v>
          </cell>
        </row>
        <row r="12">
          <cell r="C12">
            <v>0.32</v>
          </cell>
        </row>
        <row r="13">
          <cell r="C13">
            <v>0.32</v>
          </cell>
        </row>
        <row r="14">
          <cell r="C14">
            <v>7.0000000000000007E-2</v>
          </cell>
        </row>
        <row r="16">
          <cell r="C16">
            <v>7.9</v>
          </cell>
        </row>
        <row r="17">
          <cell r="C17">
            <v>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207">
          <cell r="E207">
            <v>1484040.6</v>
          </cell>
          <cell r="I207">
            <v>515170.61</v>
          </cell>
          <cell r="Q207">
            <v>2621107.87</v>
          </cell>
          <cell r="T207">
            <v>860204.77</v>
          </cell>
          <cell r="AI207">
            <v>-135.55000000000001</v>
          </cell>
          <cell r="AQ207">
            <v>2704119.44</v>
          </cell>
        </row>
        <row r="208">
          <cell r="AH208">
            <v>538015.30000000005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205">
          <cell r="E205">
            <v>1439540.05</v>
          </cell>
          <cell r="AP205">
            <v>1123738.24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384">
          <cell r="AH384">
            <v>558517.52</v>
          </cell>
        </row>
        <row r="386">
          <cell r="F386">
            <v>512137.75</v>
          </cell>
          <cell r="M386">
            <v>2696310.16</v>
          </cell>
          <cell r="AE386">
            <v>3683769.22</v>
          </cell>
        </row>
        <row r="388">
          <cell r="M388">
            <v>2045252.1703483963</v>
          </cell>
        </row>
        <row r="389">
          <cell r="M389">
            <v>651057.98965160409</v>
          </cell>
        </row>
        <row r="392">
          <cell r="Z392">
            <v>101477.02</v>
          </cell>
        </row>
        <row r="393">
          <cell r="Z393">
            <v>3581831.22</v>
          </cell>
        </row>
        <row r="394">
          <cell r="Z394">
            <v>460.98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 работ и услуг"/>
      <sheetName val="5 мес 2020"/>
      <sheetName val="10 мес 2020"/>
      <sheetName val="Текущий ремонт 2020"/>
      <sheetName val="текущий ремонт 21"/>
      <sheetName val="текущий ремонт 22"/>
      <sheetName val="текущий ремонт 24"/>
      <sheetName val="бланк отчета"/>
      <sheetName val="ОпцииПеречня"/>
      <sheetName val="conf"/>
    </sheetNames>
    <sheetDataSet>
      <sheetData sheetId="0">
        <row r="16">
          <cell r="A16" t="str">
            <v xml:space="preserve"> - Обслуживание мусоропроводов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78">
          <cell r="L78">
            <v>872046</v>
          </cell>
        </row>
        <row r="80">
          <cell r="F80">
            <v>329098.64</v>
          </cell>
          <cell r="I80">
            <v>4372.05</v>
          </cell>
          <cell r="J80">
            <v>15895.83</v>
          </cell>
          <cell r="K80">
            <v>231.06</v>
          </cell>
          <cell r="L80">
            <v>905398.52</v>
          </cell>
          <cell r="M80">
            <v>4416.3999999999996</v>
          </cell>
          <cell r="O80">
            <v>78640.77</v>
          </cell>
          <cell r="P80">
            <v>-5011.68</v>
          </cell>
          <cell r="Q80">
            <v>-8184.6</v>
          </cell>
          <cell r="AA80">
            <v>1118.75</v>
          </cell>
          <cell r="AD80">
            <v>-8184.6</v>
          </cell>
          <cell r="AE80">
            <v>960743.95</v>
          </cell>
          <cell r="AG80">
            <v>372522.27999999997</v>
          </cell>
        </row>
        <row r="82">
          <cell r="L82">
            <v>646713.22857142857</v>
          </cell>
          <cell r="Y82">
            <v>619390.87857142859</v>
          </cell>
        </row>
        <row r="83">
          <cell r="L83">
            <v>258685.29142857142</v>
          </cell>
          <cell r="Y83">
            <v>247756.35142857142</v>
          </cell>
        </row>
        <row r="86">
          <cell r="Y86">
            <v>92477.97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Б40Б"/>
      <sheetName val="КБ40В"/>
      <sheetName val="КБ40Г"/>
      <sheetName val="КБ40Д"/>
      <sheetName val="КБ61В"/>
      <sheetName val="ШК104"/>
      <sheetName val="Мира122-2"/>
    </sheetNames>
    <sheetDataSet>
      <sheetData sheetId="0">
        <row r="10">
          <cell r="D10">
            <v>13438.42</v>
          </cell>
        </row>
      </sheetData>
      <sheetData sheetId="1">
        <row r="3">
          <cell r="G3">
            <v>12648.32</v>
          </cell>
        </row>
      </sheetData>
      <sheetData sheetId="2">
        <row r="17">
          <cell r="C17">
            <v>12711.9</v>
          </cell>
        </row>
      </sheetData>
      <sheetData sheetId="3">
        <row r="29">
          <cell r="D29">
            <v>12944.48</v>
          </cell>
        </row>
      </sheetData>
      <sheetData sheetId="4">
        <row r="4">
          <cell r="C4" t="str">
            <v>8065,2</v>
          </cell>
        </row>
      </sheetData>
      <sheetData sheetId="5">
        <row r="6">
          <cell r="E6">
            <v>5609.6</v>
          </cell>
        </row>
        <row r="22">
          <cell r="C22">
            <v>7.9</v>
          </cell>
        </row>
      </sheetData>
      <sheetData sheetId="6">
        <row r="6">
          <cell r="C6">
            <v>2310.1999999999998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400">
          <cell r="S400">
            <v>542700</v>
          </cell>
          <cell r="BH400">
            <v>1952695.87</v>
          </cell>
        </row>
        <row r="402">
          <cell r="H402">
            <v>42739.86</v>
          </cell>
          <cell r="J402">
            <v>594470.59</v>
          </cell>
          <cell r="K402">
            <v>82155.12</v>
          </cell>
          <cell r="L402">
            <v>26332.07</v>
          </cell>
          <cell r="M402">
            <v>88241.279999999999</v>
          </cell>
          <cell r="P402">
            <v>2721322.65</v>
          </cell>
          <cell r="S402">
            <v>543562.68999999994</v>
          </cell>
          <cell r="T402">
            <v>4140912.43</v>
          </cell>
          <cell r="W402">
            <v>614893.11</v>
          </cell>
          <cell r="Y402">
            <v>26332.01</v>
          </cell>
          <cell r="AA402">
            <v>-56192.35</v>
          </cell>
          <cell r="AB402">
            <v>-511677.8</v>
          </cell>
          <cell r="AC402">
            <v>1522737.99</v>
          </cell>
          <cell r="AI402">
            <v>565429.19999999995</v>
          </cell>
          <cell r="AJ402">
            <v>73129.63</v>
          </cell>
          <cell r="AN402">
            <v>2101418.4700000002</v>
          </cell>
          <cell r="AO402">
            <v>73.77</v>
          </cell>
          <cell r="AP402">
            <v>2650109.62</v>
          </cell>
          <cell r="AQ402">
            <v>31305.56</v>
          </cell>
          <cell r="AS402">
            <v>554263.68999999994</v>
          </cell>
          <cell r="AT402">
            <v>4096832.14</v>
          </cell>
          <cell r="AV402">
            <v>34727.449999999997</v>
          </cell>
          <cell r="AW402">
            <v>593061.71</v>
          </cell>
          <cell r="BC402">
            <v>-505467.72</v>
          </cell>
          <cell r="BD402">
            <v>1566452.62</v>
          </cell>
        </row>
        <row r="405">
          <cell r="AT405">
            <v>716745.19239921717</v>
          </cell>
        </row>
        <row r="408">
          <cell r="AX408">
            <v>514693.91557534714</v>
          </cell>
        </row>
        <row r="409">
          <cell r="AU409">
            <v>1722048.65</v>
          </cell>
        </row>
        <row r="410">
          <cell r="U410">
            <v>1314560.2244246528</v>
          </cell>
          <cell r="X410">
            <v>464510.84557534708</v>
          </cell>
        </row>
        <row r="414">
          <cell r="AU414">
            <v>549919.08000000007</v>
          </cell>
        </row>
        <row r="416">
          <cell r="AU416">
            <v>8007895.8899999997</v>
          </cell>
        </row>
        <row r="419">
          <cell r="AU419">
            <v>15376436.050000001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232">
          <cell r="AQ232">
            <v>591338.96</v>
          </cell>
        </row>
        <row r="234">
          <cell r="H234">
            <v>10860.67</v>
          </cell>
          <cell r="I234">
            <v>141532.66</v>
          </cell>
          <cell r="K234">
            <v>7517.31</v>
          </cell>
          <cell r="L234">
            <v>27378.14</v>
          </cell>
          <cell r="M234">
            <v>157.04</v>
          </cell>
          <cell r="P234">
            <v>2236205.89</v>
          </cell>
          <cell r="R234">
            <v>442931.49</v>
          </cell>
          <cell r="U234">
            <v>168622.85</v>
          </cell>
          <cell r="V234">
            <v>-88517.9</v>
          </cell>
          <cell r="AA234">
            <v>127128.95</v>
          </cell>
          <cell r="AB234">
            <v>5764.07</v>
          </cell>
          <cell r="AF234">
            <v>7375.86</v>
          </cell>
          <cell r="AG234">
            <v>2203206.8199999998</v>
          </cell>
          <cell r="AH234">
            <v>3804.41</v>
          </cell>
          <cell r="AI234">
            <v>427682.81</v>
          </cell>
          <cell r="AK234">
            <v>2730.59</v>
          </cell>
          <cell r="AM234">
            <v>-88411.67</v>
          </cell>
          <cell r="AP234">
            <v>591338.96</v>
          </cell>
        </row>
        <row r="236">
          <cell r="P236">
            <v>1672156.5116155813</v>
          </cell>
        </row>
        <row r="237">
          <cell r="P237">
            <v>564049.3783844189</v>
          </cell>
          <cell r="AG237">
            <v>555725.85817369085</v>
          </cell>
        </row>
        <row r="241">
          <cell r="AG241">
            <v>132441.63</v>
          </cell>
        </row>
        <row r="247">
          <cell r="AG247">
            <v>2910135.1399999997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5"/>
      <sheetName val="2026"/>
    </sheetNames>
    <sheetDataSet>
      <sheetData sheetId="0"/>
      <sheetData sheetId="1">
        <row r="3">
          <cell r="B3">
            <v>68304.3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К104"/>
      <sheetName val="Мира 122-2"/>
      <sheetName val="К. Беляева 61в"/>
      <sheetName val="К. Беляева 40Б"/>
      <sheetName val="К. Беляева 40В"/>
      <sheetName val="К. Беляева 40Г"/>
      <sheetName val="К. Беляева 40Д"/>
    </sheetNames>
    <sheetDataSet>
      <sheetData sheetId="0">
        <row r="24">
          <cell r="D24">
            <v>156389.39049271541</v>
          </cell>
        </row>
        <row r="91">
          <cell r="D91">
            <v>524949.66</v>
          </cell>
        </row>
        <row r="92">
          <cell r="D92">
            <v>223665.58866640623</v>
          </cell>
        </row>
      </sheetData>
      <sheetData sheetId="1">
        <row r="26">
          <cell r="D26">
            <v>-454027.22857142845</v>
          </cell>
        </row>
        <row r="54">
          <cell r="D54">
            <v>560859.10090000008</v>
          </cell>
        </row>
        <row r="55">
          <cell r="D55">
            <v>-722129.97804285714</v>
          </cell>
        </row>
      </sheetData>
      <sheetData sheetId="2">
        <row r="27">
          <cell r="D27">
            <v>-1688118.16092163</v>
          </cell>
        </row>
        <row r="71">
          <cell r="D71">
            <v>-2956505.0900273211</v>
          </cell>
        </row>
      </sheetData>
      <sheetData sheetId="3">
        <row r="28">
          <cell r="D28">
            <v>-603221.95625048911</v>
          </cell>
        </row>
        <row r="95">
          <cell r="D95">
            <v>774515.16399999987</v>
          </cell>
        </row>
        <row r="96">
          <cell r="D96">
            <v>-577791.92785127182</v>
          </cell>
        </row>
      </sheetData>
      <sheetData sheetId="4">
        <row r="27">
          <cell r="D27">
            <v>-155149.70000000001</v>
          </cell>
        </row>
        <row r="84">
          <cell r="D84">
            <v>850432.22249999992</v>
          </cell>
        </row>
        <row r="85">
          <cell r="D85">
            <v>-219064.7378855187</v>
          </cell>
        </row>
      </sheetData>
      <sheetData sheetId="5">
        <row r="27">
          <cell r="D27">
            <v>306986.5</v>
          </cell>
        </row>
        <row r="91">
          <cell r="D91">
            <v>972944.08899999969</v>
          </cell>
        </row>
        <row r="92">
          <cell r="D92">
            <v>141904.86216242681</v>
          </cell>
        </row>
      </sheetData>
      <sheetData sheetId="6">
        <row r="27">
          <cell r="D27">
            <v>-74606.051106653758</v>
          </cell>
        </row>
        <row r="91">
          <cell r="D91">
            <v>-374639.72512035246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 refreshError="1">
        <row r="7">
          <cell r="N7" t="str">
            <v>Доп.усл.по оформл.платеж.док-в на опл. взнос. на кап.ремонт</v>
          </cell>
          <cell r="U7" t="str">
            <v>Сод. тер. транспорта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факт  23г"/>
      <sheetName val="факт22"/>
      <sheetName val="КБ40Б 23г"/>
      <sheetName val="факт  2024"/>
      <sheetName val="план 2025"/>
      <sheetName val="факт 2025г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>
        <row r="20">
          <cell r="J20">
            <v>690816.14451588783</v>
          </cell>
          <cell r="K20">
            <v>506994.44165607478</v>
          </cell>
          <cell r="L20">
            <v>897732.95646728959</v>
          </cell>
          <cell r="M20">
            <v>836974.85017570097</v>
          </cell>
        </row>
      </sheetData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 год"/>
      <sheetName val="2021 год"/>
      <sheetName val="2022 год"/>
      <sheetName val="проверка 22 год"/>
      <sheetName val="проверка 24 год"/>
      <sheetName val="проверка 25 год"/>
      <sheetName val="расчет СОИ на 25г"/>
    </sheetNames>
    <sheetDataSet>
      <sheetData sheetId="0"/>
      <sheetData sheetId="1"/>
      <sheetData sheetId="2"/>
      <sheetData sheetId="3"/>
      <sheetData sheetId="4"/>
      <sheetData sheetId="5">
        <row r="15">
          <cell r="AU15">
            <v>432876.7899999998</v>
          </cell>
        </row>
      </sheetData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К104"/>
      <sheetName val="Мира 122-2"/>
      <sheetName val="К. Беляева 61в"/>
      <sheetName val="К. Беляева 40Б"/>
      <sheetName val="К. Беляева 40В"/>
      <sheetName val="К. Беляева 40Г"/>
      <sheetName val="К. Беляева 40Д"/>
      <sheetName val="Лист1"/>
    </sheetNames>
    <sheetDataSet>
      <sheetData sheetId="0"/>
      <sheetData sheetId="1">
        <row r="21">
          <cell r="D21">
            <v>434972.86346031749</v>
          </cell>
        </row>
      </sheetData>
      <sheetData sheetId="2">
        <row r="31">
          <cell r="D31">
            <v>-408569.51400000002</v>
          </cell>
        </row>
      </sheetData>
      <sheetData sheetId="3">
        <row r="19">
          <cell r="A19" t="str">
            <v>Остаток на специальном счету на 06.06.2023г</v>
          </cell>
          <cell r="D19">
            <v>0</v>
          </cell>
        </row>
        <row r="20">
          <cell r="A20" t="str">
            <v>Задолженность потребителей (на начало периода)</v>
          </cell>
        </row>
        <row r="21">
          <cell r="A21" t="str">
            <v>Задолженность потребителей (на конец периода)</v>
          </cell>
        </row>
        <row r="22">
          <cell r="A22" t="str">
            <v>Начислено</v>
          </cell>
        </row>
        <row r="23">
          <cell r="A23" t="str">
            <v>Оплачено</v>
          </cell>
        </row>
        <row r="24">
          <cell r="D24">
            <v>0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204">
          <cell r="E204">
            <v>3046139.07</v>
          </cell>
          <cell r="G204">
            <v>859315.74</v>
          </cell>
          <cell r="R204">
            <v>2135618.23</v>
          </cell>
          <cell r="AC204">
            <v>1708057.91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uk-kod.ru/wp-content/uploads/2019/01/40-%D1%8D-%D0%BD%D0%B0%D1%81%D0%B5%D0%BB%D0%B5%D0%BD%D0%B8%D0%B5-2019.pdf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EBFF7-9141-4D1D-93E3-34C6AD64F7A4}">
  <sheetPr>
    <pageSetUpPr fitToPage="1"/>
  </sheetPr>
  <dimension ref="A1:BI496"/>
  <sheetViews>
    <sheetView tabSelected="1" topLeftCell="A477" zoomScale="55" zoomScaleNormal="55" workbookViewId="0">
      <selection activeCell="H495" sqref="A1:H495"/>
    </sheetView>
  </sheetViews>
  <sheetFormatPr defaultRowHeight="15.5" x14ac:dyDescent="0.35"/>
  <cols>
    <col min="1" max="1" width="16.1796875" style="131" customWidth="1"/>
    <col min="2" max="2" width="63.1796875" style="57" customWidth="1"/>
    <col min="3" max="3" width="8.7265625" style="57"/>
    <col min="4" max="4" width="24.6328125" style="57" customWidth="1"/>
    <col min="5" max="5" width="19.36328125" style="57" customWidth="1"/>
    <col min="6" max="6" width="17.7265625" style="57" customWidth="1"/>
    <col min="7" max="7" width="11.90625" style="57" customWidth="1"/>
    <col min="8" max="8" width="14.1796875" style="57" customWidth="1"/>
    <col min="9" max="9" width="13.7265625" style="57" hidden="1" customWidth="1"/>
    <col min="10" max="10" width="12.26953125" style="57" hidden="1" customWidth="1"/>
    <col min="11" max="11" width="11.54296875" style="57" hidden="1" customWidth="1"/>
    <col min="12" max="12" width="11.36328125" style="57" hidden="1" customWidth="1"/>
    <col min="13" max="13" width="8.7265625" style="57" hidden="1" customWidth="1"/>
    <col min="14" max="14" width="11.6328125" style="57" hidden="1" customWidth="1"/>
    <col min="15" max="48" width="0" style="57" hidden="1" customWidth="1"/>
    <col min="49" max="49" width="8.7265625" style="57"/>
    <col min="50" max="50" width="11.6328125" style="57" bestFit="1" customWidth="1"/>
    <col min="51" max="51" width="11" style="57" bestFit="1" customWidth="1"/>
    <col min="52" max="52" width="9.54296875" style="57" bestFit="1" customWidth="1"/>
    <col min="53" max="53" width="8.7265625" style="57"/>
    <col min="54" max="54" width="9.54296875" style="57" bestFit="1" customWidth="1"/>
    <col min="55" max="56" width="8.7265625" style="57"/>
    <col min="57" max="64" width="0" style="57" hidden="1" customWidth="1"/>
    <col min="65" max="16384" width="8.7265625" style="57"/>
  </cols>
  <sheetData>
    <row r="1" spans="1:8" s="61" customFormat="1" ht="63.75" customHeight="1" x14ac:dyDescent="0.3">
      <c r="A1" s="312" t="s">
        <v>336</v>
      </c>
      <c r="B1" s="312"/>
      <c r="C1" s="312"/>
      <c r="D1" s="312"/>
      <c r="E1" s="312"/>
      <c r="F1" s="312"/>
      <c r="G1" s="312"/>
      <c r="H1" s="312"/>
    </row>
    <row r="2" spans="1:8" x14ac:dyDescent="0.35">
      <c r="A2" s="313" t="s">
        <v>337</v>
      </c>
      <c r="B2" s="313"/>
      <c r="C2" s="313"/>
      <c r="D2" s="313"/>
      <c r="E2" s="313"/>
      <c r="F2" s="313"/>
      <c r="G2" s="313"/>
      <c r="H2" s="313"/>
    </row>
    <row r="3" spans="1:8" ht="16" thickBot="1" x14ac:dyDescent="0.4">
      <c r="A3" s="314" t="s">
        <v>489</v>
      </c>
      <c r="B3" s="314"/>
      <c r="C3" s="314"/>
      <c r="D3" s="314"/>
      <c r="E3" s="314"/>
      <c r="F3" s="314"/>
      <c r="G3" s="314"/>
      <c r="H3" s="314"/>
    </row>
    <row r="4" spans="1:8" ht="18" customHeight="1" x14ac:dyDescent="0.35">
      <c r="A4" s="92" t="s">
        <v>0</v>
      </c>
      <c r="B4" s="337" t="s">
        <v>2</v>
      </c>
      <c r="C4" s="337" t="s">
        <v>3</v>
      </c>
      <c r="D4" s="340" t="s">
        <v>4</v>
      </c>
      <c r="E4" s="341"/>
      <c r="F4" s="341"/>
      <c r="G4" s="341"/>
      <c r="H4" s="342"/>
    </row>
    <row r="5" spans="1:8" x14ac:dyDescent="0.35">
      <c r="A5" s="93" t="s">
        <v>1</v>
      </c>
      <c r="B5" s="316"/>
      <c r="C5" s="316"/>
      <c r="D5" s="343"/>
      <c r="E5" s="344"/>
      <c r="F5" s="344"/>
      <c r="G5" s="344"/>
      <c r="H5" s="345"/>
    </row>
    <row r="6" spans="1:8" x14ac:dyDescent="0.35">
      <c r="A6" s="94" t="s">
        <v>5</v>
      </c>
      <c r="B6" s="180" t="s">
        <v>6</v>
      </c>
      <c r="C6" s="188" t="s">
        <v>7</v>
      </c>
      <c r="D6" s="321" t="s">
        <v>338</v>
      </c>
      <c r="E6" s="321"/>
      <c r="F6" s="321"/>
      <c r="G6" s="321"/>
      <c r="H6" s="322"/>
    </row>
    <row r="7" spans="1:8" ht="21" customHeight="1" x14ac:dyDescent="0.35">
      <c r="A7" s="325" t="s">
        <v>8</v>
      </c>
      <c r="B7" s="326"/>
      <c r="C7" s="326"/>
      <c r="D7" s="326"/>
      <c r="E7" s="326"/>
      <c r="F7" s="326"/>
      <c r="G7" s="326"/>
      <c r="H7" s="327"/>
    </row>
    <row r="8" spans="1:8" ht="35" customHeight="1" x14ac:dyDescent="0.35">
      <c r="A8" s="94" t="s">
        <v>9</v>
      </c>
      <c r="B8" s="180" t="s">
        <v>10</v>
      </c>
      <c r="C8" s="188" t="s">
        <v>7</v>
      </c>
      <c r="D8" s="321" t="s">
        <v>11</v>
      </c>
      <c r="E8" s="321"/>
      <c r="F8" s="321"/>
      <c r="G8" s="321"/>
      <c r="H8" s="322"/>
    </row>
    <row r="9" spans="1:8" x14ac:dyDescent="0.35">
      <c r="A9" s="94" t="s">
        <v>12</v>
      </c>
      <c r="B9" s="180" t="s">
        <v>13</v>
      </c>
      <c r="C9" s="188" t="s">
        <v>7</v>
      </c>
      <c r="D9" s="338"/>
      <c r="E9" s="338"/>
      <c r="F9" s="338"/>
      <c r="G9" s="338"/>
      <c r="H9" s="339"/>
    </row>
    <row r="10" spans="1:8" ht="15" customHeight="1" x14ac:dyDescent="0.35">
      <c r="A10" s="325" t="s">
        <v>14</v>
      </c>
      <c r="B10" s="326"/>
      <c r="C10" s="326"/>
      <c r="D10" s="326"/>
      <c r="E10" s="326"/>
      <c r="F10" s="326"/>
      <c r="G10" s="326"/>
      <c r="H10" s="327"/>
    </row>
    <row r="11" spans="1:8" x14ac:dyDescent="0.35">
      <c r="A11" s="94" t="s">
        <v>15</v>
      </c>
      <c r="B11" s="180" t="s">
        <v>16</v>
      </c>
      <c r="C11" s="188" t="s">
        <v>7</v>
      </c>
      <c r="D11" s="321" t="s">
        <v>257</v>
      </c>
      <c r="E11" s="321"/>
      <c r="F11" s="321"/>
      <c r="G11" s="321"/>
      <c r="H11" s="322"/>
    </row>
    <row r="12" spans="1:8" ht="13" customHeight="1" x14ac:dyDescent="0.35">
      <c r="A12" s="325" t="s">
        <v>17</v>
      </c>
      <c r="B12" s="326"/>
      <c r="C12" s="326"/>
      <c r="D12" s="326"/>
      <c r="E12" s="326"/>
      <c r="F12" s="326"/>
      <c r="G12" s="326"/>
      <c r="H12" s="327"/>
    </row>
    <row r="13" spans="1:8" x14ac:dyDescent="0.35">
      <c r="A13" s="94" t="s">
        <v>18</v>
      </c>
      <c r="B13" s="180" t="s">
        <v>19</v>
      </c>
      <c r="C13" s="188" t="s">
        <v>7</v>
      </c>
      <c r="D13" s="321" t="s">
        <v>20</v>
      </c>
      <c r="E13" s="321"/>
      <c r="F13" s="321"/>
      <c r="G13" s="321"/>
      <c r="H13" s="322"/>
    </row>
    <row r="14" spans="1:8" x14ac:dyDescent="0.35">
      <c r="A14" s="94" t="s">
        <v>21</v>
      </c>
      <c r="B14" s="180" t="s">
        <v>22</v>
      </c>
      <c r="C14" s="188" t="s">
        <v>7</v>
      </c>
      <c r="D14" s="319">
        <v>2012</v>
      </c>
      <c r="E14" s="319"/>
      <c r="F14" s="319"/>
      <c r="G14" s="319"/>
      <c r="H14" s="320"/>
    </row>
    <row r="15" spans="1:8" x14ac:dyDescent="0.35">
      <c r="A15" s="94" t="s">
        <v>23</v>
      </c>
      <c r="B15" s="180" t="s">
        <v>24</v>
      </c>
      <c r="C15" s="188" t="s">
        <v>7</v>
      </c>
      <c r="D15" s="321" t="s">
        <v>25</v>
      </c>
      <c r="E15" s="321"/>
      <c r="F15" s="321"/>
      <c r="G15" s="321"/>
      <c r="H15" s="322"/>
    </row>
    <row r="16" spans="1:8" x14ac:dyDescent="0.35">
      <c r="A16" s="94" t="s">
        <v>26</v>
      </c>
      <c r="B16" s="180" t="s">
        <v>27</v>
      </c>
      <c r="C16" s="188" t="s">
        <v>7</v>
      </c>
      <c r="D16" s="321" t="s">
        <v>28</v>
      </c>
      <c r="E16" s="321"/>
      <c r="F16" s="321"/>
      <c r="G16" s="321"/>
      <c r="H16" s="322"/>
    </row>
    <row r="17" spans="1:11" x14ac:dyDescent="0.35">
      <c r="A17" s="94" t="s">
        <v>29</v>
      </c>
      <c r="B17" s="180" t="s">
        <v>30</v>
      </c>
      <c r="C17" s="188" t="s">
        <v>7</v>
      </c>
      <c r="D17" s="319">
        <v>25</v>
      </c>
      <c r="E17" s="319"/>
      <c r="F17" s="319"/>
      <c r="G17" s="319"/>
      <c r="H17" s="320"/>
    </row>
    <row r="18" spans="1:11" x14ac:dyDescent="0.35">
      <c r="A18" s="94" t="s">
        <v>31</v>
      </c>
      <c r="B18" s="95" t="s">
        <v>32</v>
      </c>
      <c r="C18" s="188" t="s">
        <v>33</v>
      </c>
      <c r="D18" s="319">
        <v>25</v>
      </c>
      <c r="E18" s="319"/>
      <c r="F18" s="319"/>
      <c r="G18" s="319"/>
      <c r="H18" s="320"/>
    </row>
    <row r="19" spans="1:11" x14ac:dyDescent="0.35">
      <c r="A19" s="94" t="s">
        <v>34</v>
      </c>
      <c r="B19" s="95" t="s">
        <v>35</v>
      </c>
      <c r="C19" s="188" t="s">
        <v>33</v>
      </c>
      <c r="D19" s="319">
        <v>1</v>
      </c>
      <c r="E19" s="319"/>
      <c r="F19" s="319"/>
      <c r="G19" s="319"/>
      <c r="H19" s="320"/>
    </row>
    <row r="20" spans="1:11" x14ac:dyDescent="0.35">
      <c r="A20" s="94" t="s">
        <v>36</v>
      </c>
      <c r="B20" s="180" t="s">
        <v>37</v>
      </c>
      <c r="C20" s="188" t="s">
        <v>33</v>
      </c>
      <c r="D20" s="319">
        <v>1</v>
      </c>
      <c r="E20" s="319"/>
      <c r="F20" s="319"/>
      <c r="G20" s="319"/>
      <c r="H20" s="320"/>
    </row>
    <row r="21" spans="1:11" x14ac:dyDescent="0.35">
      <c r="A21" s="94" t="s">
        <v>38</v>
      </c>
      <c r="B21" s="180" t="s">
        <v>39</v>
      </c>
      <c r="C21" s="188" t="s">
        <v>33</v>
      </c>
      <c r="D21" s="319">
        <v>3</v>
      </c>
      <c r="E21" s="319"/>
      <c r="F21" s="319"/>
      <c r="G21" s="319"/>
      <c r="H21" s="320"/>
    </row>
    <row r="22" spans="1:11" x14ac:dyDescent="0.35">
      <c r="A22" s="94" t="s">
        <v>40</v>
      </c>
      <c r="B22" s="180" t="s">
        <v>41</v>
      </c>
      <c r="C22" s="188" t="s">
        <v>7</v>
      </c>
      <c r="D22" s="319"/>
      <c r="E22" s="319"/>
      <c r="F22" s="319"/>
      <c r="G22" s="319"/>
      <c r="H22" s="320"/>
    </row>
    <row r="23" spans="1:11" x14ac:dyDescent="0.35">
      <c r="A23" s="94" t="s">
        <v>42</v>
      </c>
      <c r="B23" s="95" t="s">
        <v>43</v>
      </c>
      <c r="C23" s="188" t="s">
        <v>33</v>
      </c>
      <c r="D23" s="319">
        <v>192</v>
      </c>
      <c r="E23" s="319"/>
      <c r="F23" s="319"/>
      <c r="G23" s="319"/>
      <c r="H23" s="320"/>
    </row>
    <row r="24" spans="1:11" x14ac:dyDescent="0.35">
      <c r="A24" s="94" t="s">
        <v>44</v>
      </c>
      <c r="B24" s="95" t="s">
        <v>45</v>
      </c>
      <c r="C24" s="188" t="s">
        <v>33</v>
      </c>
      <c r="D24" s="319">
        <v>5</v>
      </c>
      <c r="E24" s="319"/>
      <c r="F24" s="319"/>
      <c r="G24" s="319"/>
      <c r="H24" s="320"/>
    </row>
    <row r="25" spans="1:11" x14ac:dyDescent="0.35">
      <c r="A25" s="94" t="s">
        <v>46</v>
      </c>
      <c r="B25" s="180" t="s">
        <v>47</v>
      </c>
      <c r="C25" s="188" t="s">
        <v>48</v>
      </c>
      <c r="D25" s="319">
        <v>17393.32</v>
      </c>
      <c r="E25" s="319"/>
      <c r="F25" s="319"/>
      <c r="G25" s="319"/>
      <c r="H25" s="320"/>
    </row>
    <row r="26" spans="1:11" x14ac:dyDescent="0.35">
      <c r="A26" s="94" t="s">
        <v>49</v>
      </c>
      <c r="B26" s="95" t="s">
        <v>50</v>
      </c>
      <c r="C26" s="188" t="s">
        <v>48</v>
      </c>
      <c r="D26" s="319">
        <v>12099.4</v>
      </c>
      <c r="E26" s="319"/>
      <c r="F26" s="319"/>
      <c r="G26" s="319"/>
      <c r="H26" s="320"/>
      <c r="K26" s="96">
        <f>D26+D27</f>
        <v>13438.42</v>
      </c>
    </row>
    <row r="27" spans="1:11" x14ac:dyDescent="0.35">
      <c r="A27" s="94" t="s">
        <v>51</v>
      </c>
      <c r="B27" s="95" t="s">
        <v>52</v>
      </c>
      <c r="C27" s="188" t="s">
        <v>48</v>
      </c>
      <c r="D27" s="319">
        <v>1339.02</v>
      </c>
      <c r="E27" s="319"/>
      <c r="F27" s="319"/>
      <c r="G27" s="319"/>
      <c r="H27" s="320"/>
    </row>
    <row r="28" spans="1:11" ht="31" x14ac:dyDescent="0.35">
      <c r="A28" s="94" t="s">
        <v>53</v>
      </c>
      <c r="B28" s="95" t="s">
        <v>54</v>
      </c>
      <c r="C28" s="188" t="s">
        <v>48</v>
      </c>
      <c r="D28" s="321" t="s">
        <v>20</v>
      </c>
      <c r="E28" s="321"/>
      <c r="F28" s="321"/>
      <c r="G28" s="321"/>
      <c r="H28" s="322"/>
    </row>
    <row r="29" spans="1:11" ht="31" x14ac:dyDescent="0.35">
      <c r="A29" s="94" t="s">
        <v>55</v>
      </c>
      <c r="B29" s="180" t="s">
        <v>56</v>
      </c>
      <c r="C29" s="188" t="s">
        <v>7</v>
      </c>
      <c r="D29" s="319" t="s">
        <v>443</v>
      </c>
      <c r="E29" s="319"/>
      <c r="F29" s="319"/>
      <c r="G29" s="319"/>
      <c r="H29" s="320"/>
    </row>
    <row r="30" spans="1:11" ht="31" x14ac:dyDescent="0.35">
      <c r="A30" s="94" t="s">
        <v>57</v>
      </c>
      <c r="B30" s="180" t="s">
        <v>58</v>
      </c>
      <c r="C30" s="188" t="s">
        <v>48</v>
      </c>
      <c r="D30" s="323" t="s">
        <v>25</v>
      </c>
      <c r="E30" s="323"/>
      <c r="F30" s="323"/>
      <c r="G30" s="323"/>
      <c r="H30" s="324"/>
    </row>
    <row r="31" spans="1:11" x14ac:dyDescent="0.35">
      <c r="A31" s="94" t="s">
        <v>59</v>
      </c>
      <c r="B31" s="180" t="s">
        <v>60</v>
      </c>
      <c r="C31" s="188" t="s">
        <v>48</v>
      </c>
      <c r="D31" s="323" t="s">
        <v>28</v>
      </c>
      <c r="E31" s="323"/>
      <c r="F31" s="323"/>
      <c r="G31" s="323"/>
      <c r="H31" s="324"/>
    </row>
    <row r="32" spans="1:11" x14ac:dyDescent="0.35">
      <c r="A32" s="94" t="s">
        <v>61</v>
      </c>
      <c r="B32" s="180" t="s">
        <v>62</v>
      </c>
      <c r="C32" s="188" t="s">
        <v>7</v>
      </c>
      <c r="D32" s="323" t="s">
        <v>20</v>
      </c>
      <c r="E32" s="323"/>
      <c r="F32" s="323"/>
      <c r="G32" s="323"/>
      <c r="H32" s="324"/>
    </row>
    <row r="33" spans="1:8" ht="15.5" customHeight="1" x14ac:dyDescent="0.35">
      <c r="A33" s="325" t="s">
        <v>64</v>
      </c>
      <c r="B33" s="326"/>
      <c r="C33" s="326"/>
      <c r="D33" s="326"/>
      <c r="E33" s="326"/>
      <c r="F33" s="326"/>
      <c r="G33" s="326"/>
      <c r="H33" s="327"/>
    </row>
    <row r="34" spans="1:8" x14ac:dyDescent="0.35">
      <c r="A34" s="94" t="s">
        <v>65</v>
      </c>
      <c r="B34" s="180" t="s">
        <v>66</v>
      </c>
      <c r="C34" s="188" t="s">
        <v>7</v>
      </c>
      <c r="D34" s="323" t="s">
        <v>67</v>
      </c>
      <c r="E34" s="323"/>
      <c r="F34" s="323"/>
      <c r="G34" s="323"/>
      <c r="H34" s="324"/>
    </row>
    <row r="35" spans="1:8" x14ac:dyDescent="0.35">
      <c r="A35" s="94" t="s">
        <v>68</v>
      </c>
      <c r="B35" s="180" t="s">
        <v>69</v>
      </c>
      <c r="C35" s="188" t="s">
        <v>7</v>
      </c>
      <c r="D35" s="323" t="s">
        <v>67</v>
      </c>
      <c r="E35" s="323"/>
      <c r="F35" s="323"/>
      <c r="G35" s="323"/>
      <c r="H35" s="324"/>
    </row>
    <row r="36" spans="1:8" ht="16" thickBot="1" x14ac:dyDescent="0.4">
      <c r="A36" s="97" t="s">
        <v>70</v>
      </c>
      <c r="B36" s="98" t="s">
        <v>259</v>
      </c>
      <c r="C36" s="99" t="s">
        <v>7</v>
      </c>
      <c r="D36" s="346">
        <v>50</v>
      </c>
      <c r="E36" s="346"/>
      <c r="F36" s="346"/>
      <c r="G36" s="346"/>
      <c r="H36" s="347"/>
    </row>
    <row r="37" spans="1:8" hidden="1" x14ac:dyDescent="0.35">
      <c r="A37" s="100"/>
      <c r="B37" s="101"/>
      <c r="C37" s="101"/>
      <c r="D37" s="101"/>
    </row>
    <row r="38" spans="1:8" ht="33" customHeight="1" x14ac:dyDescent="0.35">
      <c r="A38" s="328" t="s">
        <v>71</v>
      </c>
      <c r="B38" s="329"/>
      <c r="C38" s="329"/>
      <c r="D38" s="329"/>
      <c r="E38" s="329"/>
      <c r="F38" s="329"/>
      <c r="G38" s="329"/>
      <c r="H38" s="329"/>
    </row>
    <row r="39" spans="1:8" x14ac:dyDescent="0.35">
      <c r="A39" s="102" t="s">
        <v>0</v>
      </c>
      <c r="B39" s="330" t="s">
        <v>2</v>
      </c>
      <c r="C39" s="330" t="s">
        <v>3</v>
      </c>
      <c r="D39" s="316" t="s">
        <v>4</v>
      </c>
      <c r="E39" s="316"/>
      <c r="F39" s="316"/>
      <c r="G39" s="316"/>
      <c r="H39" s="316"/>
    </row>
    <row r="40" spans="1:8" x14ac:dyDescent="0.35">
      <c r="A40" s="183" t="s">
        <v>1</v>
      </c>
      <c r="B40" s="330"/>
      <c r="C40" s="330"/>
      <c r="D40" s="316"/>
      <c r="E40" s="316"/>
      <c r="F40" s="316"/>
      <c r="G40" s="316"/>
      <c r="H40" s="316"/>
    </row>
    <row r="41" spans="1:8" x14ac:dyDescent="0.35">
      <c r="A41" s="185" t="s">
        <v>5</v>
      </c>
      <c r="B41" s="186" t="s">
        <v>6</v>
      </c>
      <c r="C41" s="185" t="s">
        <v>7</v>
      </c>
      <c r="D41" s="317" t="str">
        <f>D6</f>
        <v>20.02.2026г.</v>
      </c>
      <c r="E41" s="317"/>
      <c r="F41" s="317"/>
      <c r="G41" s="317"/>
      <c r="H41" s="317"/>
    </row>
    <row r="42" spans="1:8" x14ac:dyDescent="0.35">
      <c r="A42" s="315" t="s">
        <v>72</v>
      </c>
      <c r="B42" s="315"/>
      <c r="C42" s="315"/>
      <c r="D42" s="315"/>
      <c r="E42" s="315"/>
      <c r="F42" s="315"/>
      <c r="G42" s="315"/>
      <c r="H42" s="315"/>
    </row>
    <row r="43" spans="1:8" x14ac:dyDescent="0.35">
      <c r="A43" s="185" t="s">
        <v>9</v>
      </c>
      <c r="B43" s="186" t="s">
        <v>73</v>
      </c>
      <c r="C43" s="185" t="s">
        <v>7</v>
      </c>
      <c r="D43" s="309" t="s">
        <v>74</v>
      </c>
      <c r="E43" s="309"/>
      <c r="F43" s="309"/>
      <c r="G43" s="309"/>
      <c r="H43" s="309"/>
    </row>
    <row r="44" spans="1:8" ht="15.5" customHeight="1" x14ac:dyDescent="0.35">
      <c r="A44" s="306" t="s">
        <v>75</v>
      </c>
      <c r="B44" s="307"/>
      <c r="C44" s="307"/>
      <c r="D44" s="307"/>
      <c r="E44" s="307"/>
      <c r="F44" s="307"/>
      <c r="G44" s="307"/>
      <c r="H44" s="308"/>
    </row>
    <row r="45" spans="1:8" x14ac:dyDescent="0.35">
      <c r="A45" s="185" t="s">
        <v>12</v>
      </c>
      <c r="B45" s="186" t="s">
        <v>76</v>
      </c>
      <c r="C45" s="185" t="s">
        <v>7</v>
      </c>
      <c r="D45" s="309" t="s">
        <v>77</v>
      </c>
      <c r="E45" s="309"/>
      <c r="F45" s="309"/>
      <c r="G45" s="309"/>
      <c r="H45" s="309"/>
    </row>
    <row r="46" spans="1:8" x14ac:dyDescent="0.35">
      <c r="A46" s="185" t="s">
        <v>15</v>
      </c>
      <c r="B46" s="186" t="s">
        <v>78</v>
      </c>
      <c r="C46" s="185" t="s">
        <v>7</v>
      </c>
      <c r="D46" s="309" t="s">
        <v>79</v>
      </c>
      <c r="E46" s="309"/>
      <c r="F46" s="309"/>
      <c r="G46" s="309"/>
      <c r="H46" s="309"/>
    </row>
    <row r="47" spans="1:8" ht="15.5" customHeight="1" x14ac:dyDescent="0.35">
      <c r="A47" s="306" t="s">
        <v>80</v>
      </c>
      <c r="B47" s="307"/>
      <c r="C47" s="307"/>
      <c r="D47" s="307"/>
      <c r="E47" s="307"/>
      <c r="F47" s="307"/>
      <c r="G47" s="307"/>
      <c r="H47" s="308"/>
    </row>
    <row r="48" spans="1:8" x14ac:dyDescent="0.35">
      <c r="A48" s="185" t="s">
        <v>18</v>
      </c>
      <c r="B48" s="186" t="s">
        <v>81</v>
      </c>
      <c r="C48" s="185" t="s">
        <v>7</v>
      </c>
      <c r="D48" s="309" t="s">
        <v>82</v>
      </c>
      <c r="E48" s="309"/>
      <c r="F48" s="309"/>
      <c r="G48" s="309"/>
      <c r="H48" s="309"/>
    </row>
    <row r="49" spans="1:8" ht="15.5" customHeight="1" x14ac:dyDescent="0.35">
      <c r="A49" s="306" t="s">
        <v>83</v>
      </c>
      <c r="B49" s="307"/>
      <c r="C49" s="307"/>
      <c r="D49" s="307"/>
      <c r="E49" s="307"/>
      <c r="F49" s="307"/>
      <c r="G49" s="307"/>
      <c r="H49" s="308"/>
    </row>
    <row r="50" spans="1:8" x14ac:dyDescent="0.35">
      <c r="A50" s="185" t="s">
        <v>21</v>
      </c>
      <c r="B50" s="186" t="s">
        <v>84</v>
      </c>
      <c r="C50" s="185" t="s">
        <v>7</v>
      </c>
      <c r="D50" s="309" t="s">
        <v>85</v>
      </c>
      <c r="E50" s="309"/>
      <c r="F50" s="309"/>
      <c r="G50" s="309"/>
      <c r="H50" s="309"/>
    </row>
    <row r="51" spans="1:8" x14ac:dyDescent="0.35">
      <c r="A51" s="185" t="s">
        <v>23</v>
      </c>
      <c r="B51" s="186" t="s">
        <v>86</v>
      </c>
      <c r="C51" s="185" t="s">
        <v>7</v>
      </c>
      <c r="D51" s="309" t="s">
        <v>87</v>
      </c>
      <c r="E51" s="309"/>
      <c r="F51" s="309"/>
      <c r="G51" s="309"/>
      <c r="H51" s="309"/>
    </row>
    <row r="52" spans="1:8" x14ac:dyDescent="0.35">
      <c r="A52" s="306" t="s">
        <v>88</v>
      </c>
      <c r="B52" s="307"/>
      <c r="C52" s="307"/>
      <c r="D52" s="307"/>
      <c r="E52" s="307"/>
      <c r="F52" s="307"/>
      <c r="G52" s="307"/>
      <c r="H52" s="308"/>
    </row>
    <row r="53" spans="1:8" x14ac:dyDescent="0.35">
      <c r="A53" s="185" t="s">
        <v>26</v>
      </c>
      <c r="B53" s="186" t="s">
        <v>89</v>
      </c>
      <c r="C53" s="185" t="s">
        <v>48</v>
      </c>
      <c r="D53" s="309">
        <v>1400</v>
      </c>
      <c r="E53" s="309"/>
      <c r="F53" s="309"/>
      <c r="G53" s="309"/>
      <c r="H53" s="309"/>
    </row>
    <row r="54" spans="1:8" ht="15.5" customHeight="1" x14ac:dyDescent="0.35">
      <c r="A54" s="306" t="s">
        <v>90</v>
      </c>
      <c r="B54" s="307"/>
      <c r="C54" s="307"/>
      <c r="D54" s="307"/>
      <c r="E54" s="307"/>
      <c r="F54" s="307"/>
      <c r="G54" s="307"/>
      <c r="H54" s="308"/>
    </row>
    <row r="55" spans="1:8" x14ac:dyDescent="0.35">
      <c r="A55" s="185" t="s">
        <v>29</v>
      </c>
      <c r="B55" s="186" t="s">
        <v>91</v>
      </c>
      <c r="C55" s="185" t="s">
        <v>7</v>
      </c>
      <c r="D55" s="309" t="s">
        <v>436</v>
      </c>
      <c r="E55" s="309"/>
      <c r="F55" s="309"/>
      <c r="G55" s="309"/>
      <c r="H55" s="309"/>
    </row>
    <row r="56" spans="1:8" x14ac:dyDescent="0.35">
      <c r="A56" s="185" t="s">
        <v>31</v>
      </c>
      <c r="B56" s="186" t="s">
        <v>92</v>
      </c>
      <c r="C56" s="185" t="s">
        <v>33</v>
      </c>
      <c r="D56" s="309">
        <v>1</v>
      </c>
      <c r="E56" s="309"/>
      <c r="F56" s="309"/>
      <c r="G56" s="309"/>
      <c r="H56" s="309"/>
    </row>
    <row r="57" spans="1:8" ht="15.5" customHeight="1" x14ac:dyDescent="0.35">
      <c r="A57" s="306" t="s">
        <v>93</v>
      </c>
      <c r="B57" s="307"/>
      <c r="C57" s="307"/>
      <c r="D57" s="307"/>
      <c r="E57" s="307"/>
      <c r="F57" s="307"/>
      <c r="G57" s="307"/>
      <c r="H57" s="308"/>
    </row>
    <row r="58" spans="1:8" x14ac:dyDescent="0.35">
      <c r="A58" s="185" t="s">
        <v>34</v>
      </c>
      <c r="B58" s="186" t="s">
        <v>94</v>
      </c>
      <c r="C58" s="185" t="s">
        <v>7</v>
      </c>
      <c r="D58" s="309">
        <v>1</v>
      </c>
      <c r="E58" s="309"/>
      <c r="F58" s="309"/>
      <c r="G58" s="309"/>
      <c r="H58" s="309"/>
    </row>
    <row r="59" spans="1:8" x14ac:dyDescent="0.35">
      <c r="A59" s="185" t="s">
        <v>36</v>
      </c>
      <c r="B59" s="186" t="s">
        <v>95</v>
      </c>
      <c r="C59" s="185" t="s">
        <v>7</v>
      </c>
      <c r="D59" s="309" t="s">
        <v>96</v>
      </c>
      <c r="E59" s="309"/>
      <c r="F59" s="309"/>
      <c r="G59" s="309"/>
      <c r="H59" s="309"/>
    </row>
    <row r="60" spans="1:8" x14ac:dyDescent="0.35">
      <c r="A60" s="185" t="s">
        <v>38</v>
      </c>
      <c r="B60" s="186" t="s">
        <v>97</v>
      </c>
      <c r="C60" s="185" t="s">
        <v>7</v>
      </c>
      <c r="D60" s="309">
        <v>2012</v>
      </c>
      <c r="E60" s="309"/>
      <c r="F60" s="309"/>
      <c r="G60" s="309"/>
      <c r="H60" s="309"/>
    </row>
    <row r="61" spans="1:8" x14ac:dyDescent="0.35">
      <c r="A61" s="185" t="s">
        <v>34</v>
      </c>
      <c r="B61" s="186" t="s">
        <v>94</v>
      </c>
      <c r="C61" s="185" t="s">
        <v>7</v>
      </c>
      <c r="D61" s="309">
        <v>1</v>
      </c>
      <c r="E61" s="309"/>
      <c r="F61" s="309"/>
      <c r="G61" s="309"/>
      <c r="H61" s="309"/>
    </row>
    <row r="62" spans="1:8" x14ac:dyDescent="0.35">
      <c r="A62" s="185" t="s">
        <v>36</v>
      </c>
      <c r="B62" s="186" t="s">
        <v>95</v>
      </c>
      <c r="C62" s="185" t="s">
        <v>7</v>
      </c>
      <c r="D62" s="309" t="s">
        <v>96</v>
      </c>
      <c r="E62" s="309"/>
      <c r="F62" s="309"/>
      <c r="G62" s="309"/>
      <c r="H62" s="309"/>
    </row>
    <row r="63" spans="1:8" x14ac:dyDescent="0.35">
      <c r="A63" s="185" t="s">
        <v>38</v>
      </c>
      <c r="B63" s="186" t="s">
        <v>97</v>
      </c>
      <c r="C63" s="185" t="s">
        <v>7</v>
      </c>
      <c r="D63" s="309">
        <v>2012</v>
      </c>
      <c r="E63" s="309"/>
      <c r="F63" s="309"/>
      <c r="G63" s="309"/>
      <c r="H63" s="309"/>
    </row>
    <row r="64" spans="1:8" x14ac:dyDescent="0.35">
      <c r="A64" s="185" t="s">
        <v>34</v>
      </c>
      <c r="B64" s="186" t="s">
        <v>94</v>
      </c>
      <c r="C64" s="185" t="s">
        <v>7</v>
      </c>
      <c r="D64" s="309">
        <v>1</v>
      </c>
      <c r="E64" s="309"/>
      <c r="F64" s="309"/>
      <c r="G64" s="309"/>
      <c r="H64" s="309"/>
    </row>
    <row r="65" spans="1:8" x14ac:dyDescent="0.35">
      <c r="A65" s="185" t="s">
        <v>36</v>
      </c>
      <c r="B65" s="186" t="s">
        <v>95</v>
      </c>
      <c r="C65" s="185" t="s">
        <v>7</v>
      </c>
      <c r="D65" s="309" t="s">
        <v>98</v>
      </c>
      <c r="E65" s="309"/>
      <c r="F65" s="309"/>
      <c r="G65" s="309"/>
      <c r="H65" s="309"/>
    </row>
    <row r="66" spans="1:8" x14ac:dyDescent="0.35">
      <c r="A66" s="185" t="s">
        <v>38</v>
      </c>
      <c r="B66" s="186" t="s">
        <v>97</v>
      </c>
      <c r="C66" s="185" t="s">
        <v>7</v>
      </c>
      <c r="D66" s="309">
        <v>2012</v>
      </c>
      <c r="E66" s="309"/>
      <c r="F66" s="309"/>
      <c r="G66" s="309"/>
      <c r="H66" s="309"/>
    </row>
    <row r="67" spans="1:8" ht="15.5" customHeight="1" x14ac:dyDescent="0.35">
      <c r="A67" s="306" t="s">
        <v>99</v>
      </c>
      <c r="B67" s="307"/>
      <c r="C67" s="307"/>
      <c r="D67" s="307"/>
      <c r="E67" s="307"/>
      <c r="F67" s="307"/>
      <c r="G67" s="307"/>
      <c r="H67" s="308"/>
    </row>
    <row r="68" spans="1:8" x14ac:dyDescent="0.35">
      <c r="A68" s="185" t="s">
        <v>40</v>
      </c>
      <c r="B68" s="186" t="s">
        <v>100</v>
      </c>
      <c r="C68" s="185" t="s">
        <v>7</v>
      </c>
      <c r="D68" s="309" t="s">
        <v>101</v>
      </c>
      <c r="E68" s="309"/>
      <c r="F68" s="309"/>
      <c r="G68" s="309"/>
      <c r="H68" s="309"/>
    </row>
    <row r="69" spans="1:8" x14ac:dyDescent="0.35">
      <c r="A69" s="185" t="s">
        <v>42</v>
      </c>
      <c r="B69" s="186" t="s">
        <v>102</v>
      </c>
      <c r="C69" s="185" t="s">
        <v>7</v>
      </c>
      <c r="D69" s="309" t="s">
        <v>103</v>
      </c>
      <c r="E69" s="309"/>
      <c r="F69" s="309"/>
      <c r="G69" s="309"/>
      <c r="H69" s="309"/>
    </row>
    <row r="70" spans="1:8" x14ac:dyDescent="0.35">
      <c r="A70" s="185" t="s">
        <v>44</v>
      </c>
      <c r="B70" s="186" t="s">
        <v>104</v>
      </c>
      <c r="C70" s="185" t="s">
        <v>7</v>
      </c>
      <c r="D70" s="309" t="s">
        <v>105</v>
      </c>
      <c r="E70" s="309"/>
      <c r="F70" s="309"/>
      <c r="G70" s="309"/>
      <c r="H70" s="309"/>
    </row>
    <row r="71" spans="1:8" x14ac:dyDescent="0.35">
      <c r="A71" s="185" t="s">
        <v>46</v>
      </c>
      <c r="B71" s="186" t="s">
        <v>106</v>
      </c>
      <c r="C71" s="185" t="s">
        <v>7</v>
      </c>
      <c r="D71" s="309" t="s">
        <v>107</v>
      </c>
      <c r="E71" s="309"/>
      <c r="F71" s="309"/>
      <c r="G71" s="309"/>
      <c r="H71" s="309"/>
    </row>
    <row r="72" spans="1:8" x14ac:dyDescent="0.35">
      <c r="A72" s="185" t="s">
        <v>49</v>
      </c>
      <c r="B72" s="186" t="s">
        <v>108</v>
      </c>
      <c r="C72" s="185" t="s">
        <v>7</v>
      </c>
      <c r="D72" s="309">
        <v>2012</v>
      </c>
      <c r="E72" s="309"/>
      <c r="F72" s="309"/>
      <c r="G72" s="309"/>
      <c r="H72" s="309"/>
    </row>
    <row r="73" spans="1:8" x14ac:dyDescent="0.35">
      <c r="A73" s="185" t="s">
        <v>51</v>
      </c>
      <c r="B73" s="186" t="s">
        <v>109</v>
      </c>
      <c r="C73" s="185" t="s">
        <v>7</v>
      </c>
      <c r="D73" s="309">
        <v>2022</v>
      </c>
      <c r="E73" s="309"/>
      <c r="F73" s="309"/>
      <c r="G73" s="309"/>
      <c r="H73" s="309"/>
    </row>
    <row r="74" spans="1:8" ht="15.5" customHeight="1" x14ac:dyDescent="0.35">
      <c r="A74" s="306" t="s">
        <v>99</v>
      </c>
      <c r="B74" s="307"/>
      <c r="C74" s="307"/>
      <c r="D74" s="307"/>
      <c r="E74" s="307"/>
      <c r="F74" s="307"/>
      <c r="G74" s="307"/>
      <c r="H74" s="308"/>
    </row>
    <row r="75" spans="1:8" x14ac:dyDescent="0.35">
      <c r="A75" s="185" t="s">
        <v>53</v>
      </c>
      <c r="B75" s="186" t="s">
        <v>110</v>
      </c>
      <c r="C75" s="185" t="s">
        <v>7</v>
      </c>
      <c r="D75" s="309" t="s">
        <v>111</v>
      </c>
      <c r="E75" s="309"/>
      <c r="F75" s="309"/>
      <c r="G75" s="309"/>
      <c r="H75" s="309"/>
    </row>
    <row r="76" spans="1:8" x14ac:dyDescent="0.35">
      <c r="A76" s="185" t="s">
        <v>55</v>
      </c>
      <c r="B76" s="186" t="s">
        <v>112</v>
      </c>
      <c r="C76" s="185" t="s">
        <v>7</v>
      </c>
      <c r="D76" s="309" t="s">
        <v>113</v>
      </c>
      <c r="E76" s="309"/>
      <c r="F76" s="309"/>
      <c r="G76" s="309"/>
      <c r="H76" s="309"/>
    </row>
    <row r="77" spans="1:8" x14ac:dyDescent="0.35">
      <c r="A77" s="185" t="s">
        <v>57</v>
      </c>
      <c r="B77" s="186" t="s">
        <v>104</v>
      </c>
      <c r="C77" s="185" t="s">
        <v>7</v>
      </c>
      <c r="D77" s="309" t="s">
        <v>114</v>
      </c>
      <c r="E77" s="309"/>
      <c r="F77" s="309"/>
      <c r="G77" s="309"/>
      <c r="H77" s="309"/>
    </row>
    <row r="78" spans="1:8" x14ac:dyDescent="0.35">
      <c r="A78" s="185" t="s">
        <v>59</v>
      </c>
      <c r="B78" s="186" t="s">
        <v>106</v>
      </c>
      <c r="C78" s="185" t="s">
        <v>7</v>
      </c>
      <c r="D78" s="309" t="s">
        <v>115</v>
      </c>
      <c r="E78" s="309"/>
      <c r="F78" s="309"/>
      <c r="G78" s="309"/>
      <c r="H78" s="309"/>
    </row>
    <row r="79" spans="1:8" x14ac:dyDescent="0.35">
      <c r="A79" s="185" t="s">
        <v>61</v>
      </c>
      <c r="B79" s="186" t="s">
        <v>108</v>
      </c>
      <c r="C79" s="185" t="s">
        <v>7</v>
      </c>
      <c r="D79" s="309">
        <v>2012</v>
      </c>
      <c r="E79" s="309"/>
      <c r="F79" s="309"/>
      <c r="G79" s="309"/>
      <c r="H79" s="309"/>
    </row>
    <row r="80" spans="1:8" x14ac:dyDescent="0.35">
      <c r="A80" s="185" t="s">
        <v>65</v>
      </c>
      <c r="B80" s="186" t="s">
        <v>109</v>
      </c>
      <c r="C80" s="185" t="s">
        <v>7</v>
      </c>
      <c r="D80" s="309">
        <v>2024</v>
      </c>
      <c r="E80" s="309"/>
      <c r="F80" s="309"/>
      <c r="G80" s="309"/>
      <c r="H80" s="309"/>
    </row>
    <row r="81" spans="1:8" ht="15.5" hidden="1" customHeight="1" x14ac:dyDescent="0.35">
      <c r="A81" s="306" t="s">
        <v>99</v>
      </c>
      <c r="B81" s="307"/>
      <c r="C81" s="307"/>
      <c r="D81" s="307"/>
      <c r="E81" s="307"/>
      <c r="F81" s="307"/>
      <c r="G81" s="307"/>
      <c r="H81" s="308"/>
    </row>
    <row r="82" spans="1:8" hidden="1" x14ac:dyDescent="0.35">
      <c r="A82" s="185" t="s">
        <v>68</v>
      </c>
      <c r="B82" s="186" t="s">
        <v>110</v>
      </c>
      <c r="C82" s="185" t="s">
        <v>7</v>
      </c>
      <c r="D82" s="309" t="s">
        <v>116</v>
      </c>
      <c r="E82" s="309"/>
      <c r="F82" s="309"/>
      <c r="G82" s="309"/>
      <c r="H82" s="309"/>
    </row>
    <row r="83" spans="1:8" hidden="1" x14ac:dyDescent="0.35">
      <c r="A83" s="185" t="s">
        <v>70</v>
      </c>
      <c r="B83" s="186" t="s">
        <v>112</v>
      </c>
      <c r="C83" s="185" t="s">
        <v>7</v>
      </c>
      <c r="D83" s="309" t="s">
        <v>113</v>
      </c>
      <c r="E83" s="309"/>
      <c r="F83" s="309"/>
      <c r="G83" s="309"/>
      <c r="H83" s="309"/>
    </row>
    <row r="84" spans="1:8" hidden="1" x14ac:dyDescent="0.35">
      <c r="A84" s="185" t="s">
        <v>117</v>
      </c>
      <c r="B84" s="186" t="s">
        <v>104</v>
      </c>
      <c r="C84" s="185" t="s">
        <v>7</v>
      </c>
      <c r="D84" s="309" t="s">
        <v>118</v>
      </c>
      <c r="E84" s="309"/>
      <c r="F84" s="309"/>
      <c r="G84" s="309"/>
      <c r="H84" s="309"/>
    </row>
    <row r="85" spans="1:8" hidden="1" x14ac:dyDescent="0.35">
      <c r="A85" s="185" t="s">
        <v>119</v>
      </c>
      <c r="B85" s="186" t="s">
        <v>106</v>
      </c>
      <c r="C85" s="185" t="s">
        <v>7</v>
      </c>
      <c r="D85" s="309" t="s">
        <v>303</v>
      </c>
      <c r="E85" s="309"/>
      <c r="F85" s="309"/>
      <c r="G85" s="309"/>
      <c r="H85" s="309"/>
    </row>
    <row r="86" spans="1:8" hidden="1" x14ac:dyDescent="0.35">
      <c r="A86" s="185" t="s">
        <v>121</v>
      </c>
      <c r="B86" s="186" t="s">
        <v>108</v>
      </c>
      <c r="C86" s="185" t="s">
        <v>7</v>
      </c>
      <c r="D86" s="309">
        <v>2009</v>
      </c>
      <c r="E86" s="309"/>
      <c r="F86" s="309"/>
      <c r="G86" s="309"/>
      <c r="H86" s="309"/>
    </row>
    <row r="87" spans="1:8" hidden="1" x14ac:dyDescent="0.35">
      <c r="A87" s="185" t="s">
        <v>122</v>
      </c>
      <c r="B87" s="186" t="s">
        <v>109</v>
      </c>
      <c r="C87" s="185" t="s">
        <v>7</v>
      </c>
      <c r="D87" s="309" t="s">
        <v>123</v>
      </c>
      <c r="E87" s="309"/>
      <c r="F87" s="309"/>
      <c r="G87" s="309"/>
      <c r="H87" s="309"/>
    </row>
    <row r="88" spans="1:8" ht="15.5" customHeight="1" x14ac:dyDescent="0.35">
      <c r="A88" s="177" t="s">
        <v>124</v>
      </c>
      <c r="B88" s="178"/>
      <c r="C88" s="178"/>
      <c r="D88" s="178"/>
      <c r="E88" s="178"/>
      <c r="F88" s="178"/>
      <c r="G88" s="178"/>
      <c r="H88" s="179"/>
    </row>
    <row r="89" spans="1:8" x14ac:dyDescent="0.35">
      <c r="A89" s="177" t="s">
        <v>122</v>
      </c>
      <c r="B89" s="178" t="s">
        <v>125</v>
      </c>
      <c r="C89" s="178" t="s">
        <v>7</v>
      </c>
      <c r="D89" s="357" t="s">
        <v>126</v>
      </c>
      <c r="E89" s="357"/>
      <c r="F89" s="357"/>
      <c r="G89" s="357"/>
      <c r="H89" s="358"/>
    </row>
    <row r="90" spans="1:8" ht="15.5" customHeight="1" x14ac:dyDescent="0.35">
      <c r="A90" s="177" t="s">
        <v>127</v>
      </c>
      <c r="B90" s="178"/>
      <c r="C90" s="178"/>
      <c r="D90" s="178"/>
      <c r="E90" s="178"/>
      <c r="F90" s="178"/>
      <c r="G90" s="178"/>
      <c r="H90" s="179"/>
    </row>
    <row r="91" spans="1:8" x14ac:dyDescent="0.35">
      <c r="A91" s="185" t="s">
        <v>128</v>
      </c>
      <c r="B91" s="186" t="s">
        <v>129</v>
      </c>
      <c r="C91" s="185" t="s">
        <v>7</v>
      </c>
      <c r="D91" s="309" t="s">
        <v>130</v>
      </c>
      <c r="E91" s="309"/>
      <c r="F91" s="309"/>
      <c r="G91" s="309"/>
      <c r="H91" s="309"/>
    </row>
    <row r="92" spans="1:8" ht="15.5" customHeight="1" x14ac:dyDescent="0.35">
      <c r="A92" s="177" t="s">
        <v>131</v>
      </c>
      <c r="B92" s="178"/>
      <c r="C92" s="178"/>
      <c r="D92" s="178"/>
      <c r="E92" s="178"/>
      <c r="F92" s="178"/>
      <c r="G92" s="178"/>
      <c r="H92" s="179"/>
    </row>
    <row r="93" spans="1:8" x14ac:dyDescent="0.35">
      <c r="A93" s="185" t="s">
        <v>132</v>
      </c>
      <c r="B93" s="186" t="s">
        <v>133</v>
      </c>
      <c r="C93" s="185" t="s">
        <v>7</v>
      </c>
      <c r="D93" s="309" t="s">
        <v>440</v>
      </c>
      <c r="E93" s="309"/>
      <c r="F93" s="309"/>
      <c r="G93" s="309"/>
      <c r="H93" s="309"/>
    </row>
    <row r="94" spans="1:8" ht="15.5" customHeight="1" x14ac:dyDescent="0.35">
      <c r="A94" s="306" t="s">
        <v>135</v>
      </c>
      <c r="B94" s="307"/>
      <c r="C94" s="307"/>
      <c r="D94" s="307"/>
      <c r="E94" s="307"/>
      <c r="F94" s="307"/>
      <c r="G94" s="307"/>
      <c r="H94" s="308"/>
    </row>
    <row r="95" spans="1:8" x14ac:dyDescent="0.35">
      <c r="A95" s="185" t="s">
        <v>136</v>
      </c>
      <c r="B95" s="186" t="s">
        <v>137</v>
      </c>
      <c r="C95" s="185" t="s">
        <v>7</v>
      </c>
      <c r="D95" s="309" t="s">
        <v>138</v>
      </c>
      <c r="E95" s="309"/>
      <c r="F95" s="309"/>
      <c r="G95" s="309"/>
      <c r="H95" s="309"/>
    </row>
    <row r="96" spans="1:8" ht="15.5" customHeight="1" x14ac:dyDescent="0.35">
      <c r="A96" s="306" t="s">
        <v>139</v>
      </c>
      <c r="B96" s="307"/>
      <c r="C96" s="307"/>
      <c r="D96" s="307"/>
      <c r="E96" s="307"/>
      <c r="F96" s="307"/>
      <c r="G96" s="307"/>
      <c r="H96" s="308"/>
    </row>
    <row r="97" spans="1:52" x14ac:dyDescent="0.35">
      <c r="A97" s="185" t="s">
        <v>444</v>
      </c>
      <c r="B97" s="91" t="s">
        <v>438</v>
      </c>
      <c r="C97" s="91"/>
      <c r="D97" s="309" t="str">
        <f>D95</f>
        <v xml:space="preserve">  централизованная </v>
      </c>
      <c r="E97" s="309"/>
      <c r="F97" s="309"/>
      <c r="G97" s="309"/>
      <c r="H97" s="309"/>
    </row>
    <row r="98" spans="1:52" x14ac:dyDescent="0.35">
      <c r="A98" s="315" t="s">
        <v>437</v>
      </c>
      <c r="B98" s="315"/>
      <c r="C98" s="315"/>
      <c r="D98" s="315"/>
      <c r="E98" s="91"/>
      <c r="F98" s="91"/>
      <c r="G98" s="91"/>
      <c r="H98" s="91"/>
    </row>
    <row r="99" spans="1:52" ht="46.5" x14ac:dyDescent="0.35">
      <c r="A99" s="185" t="s">
        <v>448</v>
      </c>
      <c r="B99" s="107" t="s">
        <v>439</v>
      </c>
      <c r="C99" s="185" t="s">
        <v>7</v>
      </c>
      <c r="D99" s="317"/>
      <c r="E99" s="317"/>
      <c r="F99" s="317"/>
      <c r="G99" s="317"/>
      <c r="H99" s="317"/>
    </row>
    <row r="100" spans="1:52" ht="48" customHeight="1" x14ac:dyDescent="0.35">
      <c r="A100" s="353" t="s">
        <v>346</v>
      </c>
      <c r="B100" s="354"/>
      <c r="C100" s="354"/>
      <c r="D100" s="354"/>
      <c r="E100" s="354"/>
      <c r="F100" s="354"/>
      <c r="G100" s="354"/>
      <c r="H100" s="354"/>
    </row>
    <row r="101" spans="1:52" s="217" customFormat="1" ht="39" customHeight="1" x14ac:dyDescent="0.3">
      <c r="A101" s="212" t="s">
        <v>0</v>
      </c>
      <c r="B101" s="355" t="s">
        <v>391</v>
      </c>
      <c r="C101" s="355" t="s">
        <v>106</v>
      </c>
      <c r="D101" s="213" t="s">
        <v>392</v>
      </c>
      <c r="E101" s="214" t="s">
        <v>393</v>
      </c>
      <c r="F101" s="214"/>
      <c r="G101" s="214" t="s">
        <v>394</v>
      </c>
      <c r="H101" s="214"/>
    </row>
    <row r="102" spans="1:52" s="217" customFormat="1" ht="46" x14ac:dyDescent="0.3">
      <c r="A102" s="212"/>
      <c r="B102" s="356"/>
      <c r="C102" s="356"/>
      <c r="D102" s="213" t="s">
        <v>395</v>
      </c>
      <c r="E102" s="213" t="s">
        <v>396</v>
      </c>
      <c r="F102" s="213" t="s">
        <v>397</v>
      </c>
      <c r="G102" s="213" t="s">
        <v>396</v>
      </c>
      <c r="H102" s="213" t="s">
        <v>398</v>
      </c>
    </row>
    <row r="103" spans="1:52" s="220" customFormat="1" ht="28.5" customHeight="1" x14ac:dyDescent="0.3">
      <c r="A103" s="212">
        <v>1</v>
      </c>
      <c r="B103" s="218" t="s">
        <v>399</v>
      </c>
      <c r="C103" s="215" t="s">
        <v>400</v>
      </c>
      <c r="D103" s="219">
        <f>SUM(D104:D109)</f>
        <v>0.53051800000000005</v>
      </c>
      <c r="E103" s="216">
        <v>12648.32</v>
      </c>
      <c r="F103" s="216">
        <f>D103*E103</f>
        <v>6710.1614297600008</v>
      </c>
      <c r="G103" s="216">
        <f>E103</f>
        <v>12648.32</v>
      </c>
      <c r="H103" s="216">
        <f>F103*12</f>
        <v>80521.937157120003</v>
      </c>
    </row>
    <row r="104" spans="1:52" s="217" customFormat="1" ht="22" customHeight="1" x14ac:dyDescent="0.3">
      <c r="A104" s="213"/>
      <c r="B104" s="221" t="s">
        <v>401</v>
      </c>
      <c r="C104" s="214" t="s">
        <v>402</v>
      </c>
      <c r="D104" s="222">
        <f>'[1]МКД К.Беляева 40 Б'!$B$5</f>
        <v>1.0518E-2</v>
      </c>
      <c r="E104" s="65">
        <f t="shared" ref="E104:E109" si="0">E103</f>
        <v>12648.32</v>
      </c>
      <c r="F104" s="65">
        <f>D104*E104</f>
        <v>133.03502975999999</v>
      </c>
      <c r="G104" s="65">
        <f>E104</f>
        <v>12648.32</v>
      </c>
      <c r="H104" s="65">
        <f>F104*12</f>
        <v>1596.4203571199998</v>
      </c>
    </row>
    <row r="105" spans="1:52" s="217" customFormat="1" ht="25.5" customHeight="1" x14ac:dyDescent="0.3">
      <c r="A105" s="213"/>
      <c r="B105" s="221" t="s">
        <v>403</v>
      </c>
      <c r="C105" s="214" t="s">
        <v>402</v>
      </c>
      <c r="D105" s="223">
        <v>0.11</v>
      </c>
      <c r="E105" s="65">
        <f t="shared" si="0"/>
        <v>12648.32</v>
      </c>
      <c r="F105" s="65">
        <f t="shared" ref="F105:F132" si="1">D105*E105</f>
        <v>1391.3152</v>
      </c>
      <c r="G105" s="65">
        <f t="shared" ref="G105:G132" si="2">E105</f>
        <v>12648.32</v>
      </c>
      <c r="H105" s="65">
        <f t="shared" ref="H105:H132" si="3">F105*12</f>
        <v>16695.7824</v>
      </c>
    </row>
    <row r="106" spans="1:52" s="217" customFormat="1" ht="22" customHeight="1" x14ac:dyDescent="0.3">
      <c r="A106" s="213"/>
      <c r="B106" s="221" t="s">
        <v>404</v>
      </c>
      <c r="C106" s="214" t="s">
        <v>402</v>
      </c>
      <c r="D106" s="223">
        <v>0.12</v>
      </c>
      <c r="E106" s="65">
        <f t="shared" si="0"/>
        <v>12648.32</v>
      </c>
      <c r="F106" s="65">
        <f t="shared" si="1"/>
        <v>1517.7983999999999</v>
      </c>
      <c r="G106" s="65">
        <f t="shared" si="2"/>
        <v>12648.32</v>
      </c>
      <c r="H106" s="65">
        <f t="shared" si="3"/>
        <v>18213.5808</v>
      </c>
    </row>
    <row r="107" spans="1:52" s="217" customFormat="1" ht="22" customHeight="1" x14ac:dyDescent="0.3">
      <c r="A107" s="213"/>
      <c r="B107" s="221" t="s">
        <v>405</v>
      </c>
      <c r="C107" s="214" t="s">
        <v>402</v>
      </c>
      <c r="D107" s="223">
        <v>0.03</v>
      </c>
      <c r="E107" s="65">
        <f t="shared" si="0"/>
        <v>12648.32</v>
      </c>
      <c r="F107" s="65">
        <f t="shared" si="1"/>
        <v>379.44959999999998</v>
      </c>
      <c r="G107" s="65">
        <f t="shared" si="2"/>
        <v>12648.32</v>
      </c>
      <c r="H107" s="65">
        <f t="shared" si="3"/>
        <v>4553.3951999999999</v>
      </c>
    </row>
    <row r="108" spans="1:52" s="217" customFormat="1" ht="22" customHeight="1" x14ac:dyDescent="0.3">
      <c r="A108" s="213"/>
      <c r="B108" s="221" t="s">
        <v>406</v>
      </c>
      <c r="C108" s="214" t="s">
        <v>402</v>
      </c>
      <c r="D108" s="223">
        <v>0.15</v>
      </c>
      <c r="E108" s="65">
        <f t="shared" si="0"/>
        <v>12648.32</v>
      </c>
      <c r="F108" s="65">
        <f t="shared" si="1"/>
        <v>1897.2479999999998</v>
      </c>
      <c r="G108" s="65">
        <f t="shared" si="2"/>
        <v>12648.32</v>
      </c>
      <c r="H108" s="65">
        <f t="shared" si="3"/>
        <v>22766.975999999999</v>
      </c>
    </row>
    <row r="109" spans="1:52" s="217" customFormat="1" ht="35.5" customHeight="1" x14ac:dyDescent="0.3">
      <c r="A109" s="213"/>
      <c r="B109" s="221" t="s">
        <v>407</v>
      </c>
      <c r="C109" s="214" t="s">
        <v>402</v>
      </c>
      <c r="D109" s="223">
        <v>0.11</v>
      </c>
      <c r="E109" s="65">
        <f t="shared" si="0"/>
        <v>12648.32</v>
      </c>
      <c r="F109" s="65">
        <f t="shared" si="1"/>
        <v>1391.3152</v>
      </c>
      <c r="G109" s="65">
        <f t="shared" si="2"/>
        <v>12648.32</v>
      </c>
      <c r="H109" s="65">
        <f t="shared" si="3"/>
        <v>16695.7824</v>
      </c>
    </row>
    <row r="110" spans="1:52" s="220" customFormat="1" ht="36" customHeight="1" x14ac:dyDescent="0.3">
      <c r="A110" s="212" t="s">
        <v>408</v>
      </c>
      <c r="B110" s="218" t="s">
        <v>262</v>
      </c>
      <c r="C110" s="215" t="s">
        <v>402</v>
      </c>
      <c r="D110" s="224">
        <f>SUM(D111:D116)</f>
        <v>6.25</v>
      </c>
      <c r="E110" s="216">
        <f>E103</f>
        <v>12648.32</v>
      </c>
      <c r="F110" s="216">
        <f t="shared" si="1"/>
        <v>79052</v>
      </c>
      <c r="G110" s="216">
        <f t="shared" si="2"/>
        <v>12648.32</v>
      </c>
      <c r="H110" s="216">
        <f t="shared" si="3"/>
        <v>948624</v>
      </c>
      <c r="AZ110" s="225"/>
    </row>
    <row r="111" spans="1:52" s="217" customFormat="1" ht="22" customHeight="1" x14ac:dyDescent="0.3">
      <c r="A111" s="213"/>
      <c r="B111" s="221" t="s">
        <v>409</v>
      </c>
      <c r="C111" s="214" t="s">
        <v>402</v>
      </c>
      <c r="D111" s="223">
        <v>0.25</v>
      </c>
      <c r="E111" s="65">
        <f>E109</f>
        <v>12648.32</v>
      </c>
      <c r="F111" s="65">
        <f t="shared" si="1"/>
        <v>3162.08</v>
      </c>
      <c r="G111" s="65">
        <f t="shared" si="2"/>
        <v>12648.32</v>
      </c>
      <c r="H111" s="65">
        <f t="shared" si="3"/>
        <v>37944.959999999999</v>
      </c>
    </row>
    <row r="112" spans="1:52" s="217" customFormat="1" ht="22" customHeight="1" x14ac:dyDescent="0.3">
      <c r="A112" s="213"/>
      <c r="B112" s="221" t="s">
        <v>410</v>
      </c>
      <c r="C112" s="214" t="s">
        <v>402</v>
      </c>
      <c r="D112" s="223">
        <v>1.65</v>
      </c>
      <c r="E112" s="65">
        <f>E111</f>
        <v>12648.32</v>
      </c>
      <c r="F112" s="65">
        <f t="shared" si="1"/>
        <v>20869.727999999999</v>
      </c>
      <c r="G112" s="65">
        <f t="shared" si="2"/>
        <v>12648.32</v>
      </c>
      <c r="H112" s="65">
        <f t="shared" si="3"/>
        <v>250436.73599999998</v>
      </c>
    </row>
    <row r="113" spans="1:54" s="217" customFormat="1" ht="36" customHeight="1" x14ac:dyDescent="0.3">
      <c r="A113" s="213"/>
      <c r="B113" s="221" t="s">
        <v>411</v>
      </c>
      <c r="C113" s="214" t="s">
        <v>402</v>
      </c>
      <c r="D113" s="223">
        <v>0.16</v>
      </c>
      <c r="E113" s="65">
        <f t="shared" ref="E113:E116" si="4">E112</f>
        <v>12648.32</v>
      </c>
      <c r="F113" s="65">
        <f t="shared" si="1"/>
        <v>2023.7311999999999</v>
      </c>
      <c r="G113" s="65">
        <f t="shared" si="2"/>
        <v>12648.32</v>
      </c>
      <c r="H113" s="65">
        <f t="shared" si="3"/>
        <v>24284.774399999998</v>
      </c>
    </row>
    <row r="114" spans="1:54" s="217" customFormat="1" ht="22" customHeight="1" x14ac:dyDescent="0.3">
      <c r="A114" s="213"/>
      <c r="B114" s="221" t="s">
        <v>412</v>
      </c>
      <c r="C114" s="214" t="s">
        <v>402</v>
      </c>
      <c r="D114" s="223">
        <f>1.91-0.56</f>
        <v>1.3499999999999999</v>
      </c>
      <c r="E114" s="65">
        <f t="shared" si="4"/>
        <v>12648.32</v>
      </c>
      <c r="F114" s="65">
        <f t="shared" si="1"/>
        <v>17075.231999999996</v>
      </c>
      <c r="G114" s="65">
        <f t="shared" si="2"/>
        <v>12648.32</v>
      </c>
      <c r="H114" s="65">
        <f t="shared" si="3"/>
        <v>204902.78399999996</v>
      </c>
    </row>
    <row r="115" spans="1:54" s="217" customFormat="1" ht="34" customHeight="1" x14ac:dyDescent="0.3">
      <c r="A115" s="213"/>
      <c r="B115" s="221" t="s">
        <v>413</v>
      </c>
      <c r="C115" s="214" t="s">
        <v>402</v>
      </c>
      <c r="D115" s="223">
        <v>1.47</v>
      </c>
      <c r="E115" s="65">
        <f t="shared" si="4"/>
        <v>12648.32</v>
      </c>
      <c r="F115" s="65">
        <f t="shared" si="1"/>
        <v>18593.0304</v>
      </c>
      <c r="G115" s="65">
        <f t="shared" si="2"/>
        <v>12648.32</v>
      </c>
      <c r="H115" s="65">
        <f t="shared" si="3"/>
        <v>223116.36479999998</v>
      </c>
    </row>
    <row r="116" spans="1:54" s="217" customFormat="1" ht="38.5" customHeight="1" x14ac:dyDescent="0.3">
      <c r="A116" s="213"/>
      <c r="B116" s="221" t="s">
        <v>414</v>
      </c>
      <c r="C116" s="214" t="s">
        <v>402</v>
      </c>
      <c r="D116" s="223">
        <v>1.37</v>
      </c>
      <c r="E116" s="65">
        <f t="shared" si="4"/>
        <v>12648.32</v>
      </c>
      <c r="F116" s="65">
        <f t="shared" si="1"/>
        <v>17328.198400000001</v>
      </c>
      <c r="G116" s="65">
        <f t="shared" si="2"/>
        <v>12648.32</v>
      </c>
      <c r="H116" s="65">
        <f t="shared" si="3"/>
        <v>207938.38080000001</v>
      </c>
    </row>
    <row r="117" spans="1:54" s="220" customFormat="1" ht="26.5" customHeight="1" x14ac:dyDescent="0.3">
      <c r="A117" s="212"/>
      <c r="B117" s="218" t="s">
        <v>415</v>
      </c>
      <c r="C117" s="215" t="s">
        <v>402</v>
      </c>
      <c r="D117" s="224">
        <f>SUM(D118:D126)</f>
        <v>6.61</v>
      </c>
      <c r="E117" s="216">
        <f>E110</f>
        <v>12648.32</v>
      </c>
      <c r="F117" s="216">
        <f t="shared" si="1"/>
        <v>83605.395199999999</v>
      </c>
      <c r="G117" s="216">
        <f t="shared" si="2"/>
        <v>12648.32</v>
      </c>
      <c r="H117" s="216">
        <f t="shared" si="3"/>
        <v>1003264.7424</v>
      </c>
      <c r="AZ117" s="225"/>
      <c r="BB117" s="225"/>
    </row>
    <row r="118" spans="1:54" s="217" customFormat="1" ht="24" customHeight="1" x14ac:dyDescent="0.3">
      <c r="A118" s="213"/>
      <c r="B118" s="221" t="s">
        <v>416</v>
      </c>
      <c r="C118" s="214" t="s">
        <v>402</v>
      </c>
      <c r="D118" s="223">
        <v>0.55000000000000004</v>
      </c>
      <c r="E118" s="65">
        <f>E116</f>
        <v>12648.32</v>
      </c>
      <c r="F118" s="65">
        <f t="shared" si="1"/>
        <v>6956.576</v>
      </c>
      <c r="G118" s="65">
        <f t="shared" si="2"/>
        <v>12648.32</v>
      </c>
      <c r="H118" s="65">
        <f t="shared" si="3"/>
        <v>83478.911999999997</v>
      </c>
    </row>
    <row r="119" spans="1:54" s="217" customFormat="1" ht="37" customHeight="1" x14ac:dyDescent="0.3">
      <c r="A119" s="213"/>
      <c r="B119" s="221" t="s">
        <v>417</v>
      </c>
      <c r="C119" s="214" t="s">
        <v>402</v>
      </c>
      <c r="D119" s="223">
        <f>1.2+0.55</f>
        <v>1.75</v>
      </c>
      <c r="E119" s="65">
        <f t="shared" ref="E119:E126" si="5">E118</f>
        <v>12648.32</v>
      </c>
      <c r="F119" s="65">
        <f t="shared" si="1"/>
        <v>22134.559999999998</v>
      </c>
      <c r="G119" s="65">
        <f t="shared" si="2"/>
        <v>12648.32</v>
      </c>
      <c r="H119" s="65">
        <f t="shared" si="3"/>
        <v>265614.71999999997</v>
      </c>
    </row>
    <row r="120" spans="1:54" s="217" customFormat="1" ht="22" customHeight="1" x14ac:dyDescent="0.3">
      <c r="A120" s="213"/>
      <c r="B120" s="221" t="s">
        <v>418</v>
      </c>
      <c r="C120" s="214" t="s">
        <v>402</v>
      </c>
      <c r="D120" s="223">
        <v>3.74</v>
      </c>
      <c r="E120" s="65">
        <f t="shared" si="5"/>
        <v>12648.32</v>
      </c>
      <c r="F120" s="65">
        <f t="shared" si="1"/>
        <v>47304.716800000002</v>
      </c>
      <c r="G120" s="65">
        <f t="shared" si="2"/>
        <v>12648.32</v>
      </c>
      <c r="H120" s="65">
        <f t="shared" si="3"/>
        <v>567656.60160000005</v>
      </c>
    </row>
    <row r="121" spans="1:54" s="217" customFormat="1" ht="38.5" customHeight="1" x14ac:dyDescent="0.3">
      <c r="A121" s="213"/>
      <c r="B121" s="221" t="s">
        <v>419</v>
      </c>
      <c r="C121" s="214" t="s">
        <v>402</v>
      </c>
      <c r="D121" s="223">
        <f>0.06+0.01</f>
        <v>6.9999999999999993E-2</v>
      </c>
      <c r="E121" s="65">
        <f t="shared" si="5"/>
        <v>12648.32</v>
      </c>
      <c r="F121" s="65">
        <f t="shared" si="1"/>
        <v>885.38239999999985</v>
      </c>
      <c r="G121" s="65">
        <f t="shared" si="2"/>
        <v>12648.32</v>
      </c>
      <c r="H121" s="65">
        <f t="shared" si="3"/>
        <v>10624.588799999998</v>
      </c>
    </row>
    <row r="122" spans="1:54" s="217" customFormat="1" ht="22" hidden="1" customHeight="1" x14ac:dyDescent="0.3">
      <c r="A122" s="213"/>
      <c r="B122" s="221" t="s">
        <v>420</v>
      </c>
      <c r="C122" s="214" t="s">
        <v>402</v>
      </c>
      <c r="D122" s="223"/>
      <c r="E122" s="65">
        <f t="shared" si="5"/>
        <v>12648.32</v>
      </c>
      <c r="F122" s="65">
        <f t="shared" si="1"/>
        <v>0</v>
      </c>
      <c r="G122" s="65">
        <f t="shared" si="2"/>
        <v>12648.32</v>
      </c>
      <c r="H122" s="65">
        <f t="shared" si="3"/>
        <v>0</v>
      </c>
    </row>
    <row r="123" spans="1:54" s="217" customFormat="1" ht="22" customHeight="1" x14ac:dyDescent="0.3">
      <c r="A123" s="213"/>
      <c r="B123" s="221" t="s">
        <v>421</v>
      </c>
      <c r="C123" s="214"/>
      <c r="D123" s="223">
        <v>0.04</v>
      </c>
      <c r="E123" s="65">
        <f t="shared" si="5"/>
        <v>12648.32</v>
      </c>
      <c r="F123" s="65">
        <f t="shared" si="1"/>
        <v>505.93279999999999</v>
      </c>
      <c r="G123" s="65">
        <f t="shared" si="2"/>
        <v>12648.32</v>
      </c>
      <c r="H123" s="65">
        <f t="shared" si="3"/>
        <v>6071.1935999999996</v>
      </c>
    </row>
    <row r="124" spans="1:54" s="217" customFormat="1" ht="22" customHeight="1" x14ac:dyDescent="0.3">
      <c r="A124" s="213"/>
      <c r="B124" s="221" t="s">
        <v>422</v>
      </c>
      <c r="C124" s="214" t="s">
        <v>402</v>
      </c>
      <c r="D124" s="223">
        <v>0.05</v>
      </c>
      <c r="E124" s="65">
        <f t="shared" si="5"/>
        <v>12648.32</v>
      </c>
      <c r="F124" s="65">
        <f t="shared" si="1"/>
        <v>632.41600000000005</v>
      </c>
      <c r="G124" s="65">
        <f t="shared" si="2"/>
        <v>12648.32</v>
      </c>
      <c r="H124" s="65">
        <f t="shared" si="3"/>
        <v>7588.9920000000002</v>
      </c>
    </row>
    <row r="125" spans="1:54" s="217" customFormat="1" ht="15.5" customHeight="1" x14ac:dyDescent="0.3">
      <c r="A125" s="212" t="s">
        <v>449</v>
      </c>
      <c r="B125" s="221" t="s">
        <v>423</v>
      </c>
      <c r="C125" s="215" t="s">
        <v>402</v>
      </c>
      <c r="D125" s="223">
        <v>0.36</v>
      </c>
      <c r="E125" s="65">
        <f t="shared" si="5"/>
        <v>12648.32</v>
      </c>
      <c r="F125" s="65">
        <f t="shared" si="1"/>
        <v>4553.3951999999999</v>
      </c>
      <c r="G125" s="65">
        <f t="shared" si="2"/>
        <v>12648.32</v>
      </c>
      <c r="H125" s="65">
        <f t="shared" si="3"/>
        <v>54640.742400000003</v>
      </c>
    </row>
    <row r="126" spans="1:54" s="217" customFormat="1" ht="51" customHeight="1" x14ac:dyDescent="0.3">
      <c r="A126" s="226"/>
      <c r="B126" s="221" t="s">
        <v>305</v>
      </c>
      <c r="C126" s="215" t="s">
        <v>402</v>
      </c>
      <c r="D126" s="223">
        <v>0.05</v>
      </c>
      <c r="E126" s="65">
        <f t="shared" si="5"/>
        <v>12648.32</v>
      </c>
      <c r="F126" s="65">
        <f t="shared" si="1"/>
        <v>632.41600000000005</v>
      </c>
      <c r="G126" s="65">
        <f t="shared" si="2"/>
        <v>12648.32</v>
      </c>
      <c r="H126" s="65">
        <f t="shared" si="3"/>
        <v>7588.9920000000002</v>
      </c>
    </row>
    <row r="127" spans="1:54" s="220" customFormat="1" ht="46" x14ac:dyDescent="0.3">
      <c r="A127" s="227"/>
      <c r="B127" s="218" t="s">
        <v>424</v>
      </c>
      <c r="C127" s="215" t="s">
        <v>402</v>
      </c>
      <c r="D127" s="219">
        <f>D128+D129</f>
        <v>2.12</v>
      </c>
      <c r="E127" s="216">
        <f>E117</f>
        <v>12648.32</v>
      </c>
      <c r="F127" s="216">
        <f t="shared" si="1"/>
        <v>26814.438399999999</v>
      </c>
      <c r="G127" s="216">
        <f t="shared" si="2"/>
        <v>12648.32</v>
      </c>
      <c r="H127" s="216">
        <f t="shared" si="3"/>
        <v>321773.26079999999</v>
      </c>
    </row>
    <row r="128" spans="1:54" s="217" customFormat="1" ht="103.5" x14ac:dyDescent="0.3">
      <c r="A128" s="226"/>
      <c r="B128" s="221" t="s">
        <v>425</v>
      </c>
      <c r="C128" s="215" t="s">
        <v>402</v>
      </c>
      <c r="D128" s="222">
        <f>2.16-0.55</f>
        <v>1.61</v>
      </c>
      <c r="E128" s="65">
        <f>E126</f>
        <v>12648.32</v>
      </c>
      <c r="F128" s="65">
        <f t="shared" si="1"/>
        <v>20363.7952</v>
      </c>
      <c r="G128" s="65">
        <f t="shared" si="2"/>
        <v>12648.32</v>
      </c>
      <c r="H128" s="65">
        <f t="shared" si="3"/>
        <v>244365.54240000001</v>
      </c>
    </row>
    <row r="129" spans="1:14" s="217" customFormat="1" ht="72" customHeight="1" x14ac:dyDescent="0.3">
      <c r="A129" s="226"/>
      <c r="B129" s="221" t="s">
        <v>426</v>
      </c>
      <c r="C129" s="215" t="s">
        <v>402</v>
      </c>
      <c r="D129" s="222">
        <v>0.51</v>
      </c>
      <c r="E129" s="65">
        <f>E128</f>
        <v>12648.32</v>
      </c>
      <c r="F129" s="65">
        <f t="shared" si="1"/>
        <v>6450.6431999999995</v>
      </c>
      <c r="G129" s="65">
        <f t="shared" si="2"/>
        <v>12648.32</v>
      </c>
      <c r="H129" s="65">
        <f t="shared" si="3"/>
        <v>77407.718399999998</v>
      </c>
    </row>
    <row r="130" spans="1:14" s="217" customFormat="1" ht="34.5" x14ac:dyDescent="0.3">
      <c r="A130" s="226"/>
      <c r="B130" s="218" t="s">
        <v>265</v>
      </c>
      <c r="C130" s="215" t="s">
        <v>402</v>
      </c>
      <c r="D130" s="219">
        <f>2.39+3.18</f>
        <v>5.57</v>
      </c>
      <c r="E130" s="216">
        <f>E127</f>
        <v>12648.32</v>
      </c>
      <c r="F130" s="216">
        <f t="shared" si="1"/>
        <v>70451.142399999997</v>
      </c>
      <c r="G130" s="216">
        <f t="shared" si="2"/>
        <v>12648.32</v>
      </c>
      <c r="H130" s="216">
        <f t="shared" si="3"/>
        <v>845413.70879999991</v>
      </c>
    </row>
    <row r="131" spans="1:14" s="217" customFormat="1" ht="15" x14ac:dyDescent="0.3">
      <c r="A131" s="226"/>
      <c r="B131" s="218" t="s">
        <v>427</v>
      </c>
      <c r="C131" s="215" t="s">
        <v>402</v>
      </c>
      <c r="D131" s="224">
        <v>4.47</v>
      </c>
      <c r="E131" s="216">
        <f>E130</f>
        <v>12648.32</v>
      </c>
      <c r="F131" s="216">
        <f t="shared" si="1"/>
        <v>56537.990399999995</v>
      </c>
      <c r="G131" s="216">
        <f t="shared" si="2"/>
        <v>12648.32</v>
      </c>
      <c r="H131" s="216">
        <f t="shared" si="3"/>
        <v>678455.88479999988</v>
      </c>
    </row>
    <row r="132" spans="1:14" s="217" customFormat="1" ht="15" x14ac:dyDescent="0.3">
      <c r="A132" s="226"/>
      <c r="B132" s="218" t="s">
        <v>428</v>
      </c>
      <c r="C132" s="215" t="s">
        <v>402</v>
      </c>
      <c r="D132" s="219">
        <f>D131+D130+D127+D117+D110+D103</f>
        <v>25.550518</v>
      </c>
      <c r="E132" s="216">
        <f>E131</f>
        <v>12648.32</v>
      </c>
      <c r="F132" s="216">
        <f t="shared" si="1"/>
        <v>323171.12782976002</v>
      </c>
      <c r="G132" s="216">
        <f t="shared" si="2"/>
        <v>12648.32</v>
      </c>
      <c r="H132" s="216">
        <f t="shared" si="3"/>
        <v>3878053.53395712</v>
      </c>
    </row>
    <row r="133" spans="1:14" ht="16" hidden="1" thickBot="1" x14ac:dyDescent="0.4">
      <c r="A133" s="109" t="s">
        <v>0</v>
      </c>
      <c r="B133" s="351" t="s">
        <v>2</v>
      </c>
      <c r="C133" s="351" t="s">
        <v>3</v>
      </c>
      <c r="D133" s="352" t="s">
        <v>312</v>
      </c>
    </row>
    <row r="134" spans="1:14" hidden="1" x14ac:dyDescent="0.35">
      <c r="A134" s="110" t="s">
        <v>1</v>
      </c>
      <c r="B134" s="330"/>
      <c r="C134" s="330"/>
      <c r="D134" s="350"/>
    </row>
    <row r="135" spans="1:14" ht="52" hidden="1" x14ac:dyDescent="0.35">
      <c r="A135" s="111">
        <v>1</v>
      </c>
      <c r="B135" s="228" t="s">
        <v>294</v>
      </c>
      <c r="C135" s="185" t="s">
        <v>7</v>
      </c>
      <c r="D135" s="112">
        <v>0.53</v>
      </c>
      <c r="E135" s="57">
        <f>D135</f>
        <v>0.53</v>
      </c>
      <c r="K135" s="57">
        <f>D135+D141+D148+D155+D200+D206+D214</f>
        <v>25.6</v>
      </c>
      <c r="L135" s="57">
        <v>25.55</v>
      </c>
      <c r="M135" s="57">
        <f>K135-L135</f>
        <v>5.0000000000000711E-2</v>
      </c>
    </row>
    <row r="136" spans="1:14" hidden="1" x14ac:dyDescent="0.35">
      <c r="A136" s="111">
        <v>2</v>
      </c>
      <c r="B136" s="186" t="s">
        <v>142</v>
      </c>
      <c r="C136" s="185" t="s">
        <v>143</v>
      </c>
      <c r="D136" s="229">
        <f>[2]КБ40Б!$G$3</f>
        <v>89983.472031609679</v>
      </c>
      <c r="F136" s="57">
        <f>D136</f>
        <v>89983.472031609679</v>
      </c>
    </row>
    <row r="137" spans="1:14" ht="26" hidden="1" x14ac:dyDescent="0.35">
      <c r="A137" s="111">
        <v>3</v>
      </c>
      <c r="B137" s="186" t="s">
        <v>258</v>
      </c>
      <c r="C137" s="185" t="s">
        <v>7</v>
      </c>
      <c r="D137" s="230" t="s">
        <v>260</v>
      </c>
    </row>
    <row r="138" spans="1:14" ht="16" hidden="1" thickBot="1" x14ac:dyDescent="0.4">
      <c r="A138" s="113">
        <v>4</v>
      </c>
      <c r="B138" s="114" t="s">
        <v>148</v>
      </c>
      <c r="C138" s="115" t="s">
        <v>7</v>
      </c>
      <c r="D138" s="231" t="s">
        <v>146</v>
      </c>
    </row>
    <row r="139" spans="1:14" hidden="1" x14ac:dyDescent="0.35">
      <c r="A139" s="116" t="s">
        <v>0</v>
      </c>
      <c r="B139" s="348" t="s">
        <v>2</v>
      </c>
      <c r="C139" s="348" t="s">
        <v>3</v>
      </c>
      <c r="D139" s="349" t="s">
        <v>4</v>
      </c>
    </row>
    <row r="140" spans="1:14" hidden="1" x14ac:dyDescent="0.35">
      <c r="A140" s="110" t="s">
        <v>1</v>
      </c>
      <c r="B140" s="330"/>
      <c r="C140" s="330"/>
      <c r="D140" s="350"/>
    </row>
    <row r="141" spans="1:14" ht="39" hidden="1" x14ac:dyDescent="0.35">
      <c r="A141" s="111">
        <v>1</v>
      </c>
      <c r="B141" s="228" t="s">
        <v>262</v>
      </c>
      <c r="C141" s="185" t="s">
        <v>7</v>
      </c>
      <c r="D141" s="230">
        <f>6.25</f>
        <v>6.25</v>
      </c>
      <c r="E141" s="57">
        <f>D141</f>
        <v>6.25</v>
      </c>
      <c r="K141" s="57">
        <v>13438.42</v>
      </c>
      <c r="M141" s="57">
        <f>K141*D141</f>
        <v>83990.125</v>
      </c>
      <c r="N141" s="57">
        <f>M141*12</f>
        <v>1007881.5</v>
      </c>
    </row>
    <row r="142" spans="1:14" hidden="1" x14ac:dyDescent="0.35">
      <c r="A142" s="111">
        <v>2</v>
      </c>
      <c r="B142" s="186" t="s">
        <v>142</v>
      </c>
      <c r="C142" s="185" t="s">
        <v>143</v>
      </c>
      <c r="D142" s="229">
        <f>[2]КБ40Б!$G$10</f>
        <v>1060089.7617000001</v>
      </c>
      <c r="F142" s="57">
        <f>D142</f>
        <v>1060089.7617000001</v>
      </c>
    </row>
    <row r="143" spans="1:14" ht="65" hidden="1" x14ac:dyDescent="0.35">
      <c r="A143" s="111">
        <v>3</v>
      </c>
      <c r="B143" s="186" t="s">
        <v>258</v>
      </c>
      <c r="C143" s="185" t="s">
        <v>7</v>
      </c>
      <c r="D143" s="230" t="s">
        <v>348</v>
      </c>
    </row>
    <row r="144" spans="1:14" ht="16" hidden="1" thickBot="1" x14ac:dyDescent="0.4">
      <c r="A144" s="113">
        <v>4</v>
      </c>
      <c r="B144" s="114" t="s">
        <v>148</v>
      </c>
      <c r="C144" s="115" t="s">
        <v>7</v>
      </c>
      <c r="D144" s="231" t="s">
        <v>150</v>
      </c>
    </row>
    <row r="145" spans="1:14" hidden="1" x14ac:dyDescent="0.35">
      <c r="A145" s="116" t="s">
        <v>0</v>
      </c>
      <c r="B145" s="348" t="s">
        <v>2</v>
      </c>
      <c r="C145" s="348" t="s">
        <v>3</v>
      </c>
      <c r="D145" s="349" t="s">
        <v>4</v>
      </c>
    </row>
    <row r="146" spans="1:14" hidden="1" x14ac:dyDescent="0.35">
      <c r="A146" s="110" t="s">
        <v>1</v>
      </c>
      <c r="B146" s="330"/>
      <c r="C146" s="330"/>
      <c r="D146" s="350"/>
    </row>
    <row r="147" spans="1:14" ht="26" hidden="1" x14ac:dyDescent="0.35">
      <c r="A147" s="111">
        <v>1</v>
      </c>
      <c r="B147" s="228" t="s">
        <v>263</v>
      </c>
      <c r="C147" s="185" t="s">
        <v>7</v>
      </c>
      <c r="D147" s="112"/>
    </row>
    <row r="148" spans="1:14" hidden="1" x14ac:dyDescent="0.35">
      <c r="A148" s="111">
        <v>2</v>
      </c>
      <c r="B148" s="186" t="s">
        <v>140</v>
      </c>
      <c r="C148" s="185" t="s">
        <v>141</v>
      </c>
      <c r="D148" s="230">
        <f>[2]КБ40Б!$B$17</f>
        <v>6.6099999999999994</v>
      </c>
      <c r="E148" s="57">
        <f>D148</f>
        <v>6.6099999999999994</v>
      </c>
      <c r="K148" s="57">
        <v>13438.42</v>
      </c>
      <c r="M148" s="57">
        <f>K148*D148</f>
        <v>88827.956199999986</v>
      </c>
      <c r="N148" s="57">
        <f>M148*12</f>
        <v>1065935.4743999997</v>
      </c>
    </row>
    <row r="149" spans="1:14" hidden="1" x14ac:dyDescent="0.35">
      <c r="A149" s="111">
        <v>3</v>
      </c>
      <c r="B149" s="186" t="s">
        <v>142</v>
      </c>
      <c r="C149" s="185" t="s">
        <v>143</v>
      </c>
      <c r="D149" s="229">
        <f>[2]КБ40Б!$G$17</f>
        <v>1027863.0329443202</v>
      </c>
      <c r="F149" s="57">
        <f>D149</f>
        <v>1027863.0329443202</v>
      </c>
    </row>
    <row r="150" spans="1:14" ht="65" hidden="1" x14ac:dyDescent="0.35">
      <c r="A150" s="111">
        <v>4</v>
      </c>
      <c r="B150" s="186" t="s">
        <v>258</v>
      </c>
      <c r="C150" s="185" t="s">
        <v>7</v>
      </c>
      <c r="D150" s="230" t="s">
        <v>323</v>
      </c>
    </row>
    <row r="151" spans="1:14" ht="16" hidden="1" thickBot="1" x14ac:dyDescent="0.4">
      <c r="A151" s="113">
        <v>5</v>
      </c>
      <c r="B151" s="114" t="s">
        <v>148</v>
      </c>
      <c r="C151" s="115" t="s">
        <v>7</v>
      </c>
      <c r="D151" s="231" t="s">
        <v>150</v>
      </c>
    </row>
    <row r="152" spans="1:14" ht="16" hidden="1" thickBot="1" x14ac:dyDescent="0.4">
      <c r="A152" s="117"/>
      <c r="B152" s="118"/>
      <c r="C152" s="118"/>
      <c r="D152" s="118"/>
    </row>
    <row r="153" spans="1:14" hidden="1" x14ac:dyDescent="0.35">
      <c r="A153" s="116" t="s">
        <v>0</v>
      </c>
      <c r="B153" s="348" t="s">
        <v>2</v>
      </c>
      <c r="C153" s="348" t="s">
        <v>3</v>
      </c>
      <c r="D153" s="349" t="s">
        <v>4</v>
      </c>
    </row>
    <row r="154" spans="1:14" hidden="1" x14ac:dyDescent="0.35">
      <c r="A154" s="110" t="s">
        <v>1</v>
      </c>
      <c r="B154" s="330"/>
      <c r="C154" s="330"/>
      <c r="D154" s="350"/>
    </row>
    <row r="155" spans="1:14" ht="52" hidden="1" x14ac:dyDescent="0.35">
      <c r="A155" s="111" t="s">
        <v>5</v>
      </c>
      <c r="B155" s="228" t="s">
        <v>261</v>
      </c>
      <c r="C155" s="185" t="s">
        <v>7</v>
      </c>
      <c r="D155" s="112">
        <v>2.67</v>
      </c>
      <c r="E155" s="57">
        <f>D155</f>
        <v>2.67</v>
      </c>
      <c r="K155" s="57">
        <v>13438.42</v>
      </c>
      <c r="M155" s="57">
        <f>K155*D155</f>
        <v>35880.581400000003</v>
      </c>
      <c r="N155" s="57">
        <f>M155*12</f>
        <v>430566.97680000006</v>
      </c>
    </row>
    <row r="156" spans="1:14" hidden="1" x14ac:dyDescent="0.35">
      <c r="A156" s="111" t="s">
        <v>9</v>
      </c>
      <c r="B156" s="186" t="s">
        <v>142</v>
      </c>
      <c r="C156" s="185" t="s">
        <v>143</v>
      </c>
      <c r="D156" s="229">
        <f>[2]КБ40Б!$G$28</f>
        <v>452870.34619823995</v>
      </c>
      <c r="F156" s="57">
        <f>D156</f>
        <v>452870.34619823995</v>
      </c>
    </row>
    <row r="157" spans="1:14" hidden="1" x14ac:dyDescent="0.35">
      <c r="A157" s="111" t="s">
        <v>12</v>
      </c>
      <c r="B157" s="186" t="s">
        <v>258</v>
      </c>
      <c r="C157" s="185" t="s">
        <v>7</v>
      </c>
      <c r="D157" s="230" t="s">
        <v>307</v>
      </c>
    </row>
    <row r="158" spans="1:14" ht="16" hidden="1" thickBot="1" x14ac:dyDescent="0.4">
      <c r="A158" s="113" t="s">
        <v>15</v>
      </c>
      <c r="B158" s="114" t="s">
        <v>148</v>
      </c>
      <c r="C158" s="115" t="s">
        <v>7</v>
      </c>
      <c r="D158" s="231" t="s">
        <v>146</v>
      </c>
    </row>
    <row r="159" spans="1:14" ht="16" hidden="1" thickBot="1" x14ac:dyDescent="0.4">
      <c r="A159" s="100"/>
      <c r="B159" s="101"/>
      <c r="C159" s="101"/>
      <c r="D159" s="101"/>
    </row>
    <row r="160" spans="1:14" ht="16" hidden="1" thickBot="1" x14ac:dyDescent="0.4">
      <c r="A160" s="106"/>
      <c r="B160" s="91"/>
      <c r="C160" s="91"/>
      <c r="D160" s="91"/>
    </row>
    <row r="161" spans="1:4" hidden="1" x14ac:dyDescent="0.35">
      <c r="A161" s="102" t="s">
        <v>0</v>
      </c>
      <c r="B161" s="330" t="s">
        <v>2</v>
      </c>
      <c r="C161" s="330" t="s">
        <v>3</v>
      </c>
      <c r="D161" s="316" t="s">
        <v>4</v>
      </c>
    </row>
    <row r="162" spans="1:4" hidden="1" x14ac:dyDescent="0.35">
      <c r="A162" s="183" t="s">
        <v>1</v>
      </c>
      <c r="B162" s="330"/>
      <c r="C162" s="330"/>
      <c r="D162" s="316"/>
    </row>
    <row r="163" spans="1:4" hidden="1" x14ac:dyDescent="0.35">
      <c r="A163" s="185" t="s">
        <v>9</v>
      </c>
      <c r="B163" s="228" t="s">
        <v>151</v>
      </c>
      <c r="C163" s="185" t="s">
        <v>7</v>
      </c>
      <c r="D163" s="91"/>
    </row>
    <row r="164" spans="1:4" hidden="1" x14ac:dyDescent="0.35">
      <c r="A164" s="185" t="s">
        <v>15</v>
      </c>
      <c r="B164" s="186" t="s">
        <v>140</v>
      </c>
      <c r="C164" s="185" t="s">
        <v>141</v>
      </c>
      <c r="D164" s="228">
        <v>2.67</v>
      </c>
    </row>
    <row r="165" spans="1:4" hidden="1" x14ac:dyDescent="0.35">
      <c r="A165" s="185" t="s">
        <v>18</v>
      </c>
      <c r="B165" s="186" t="s">
        <v>142</v>
      </c>
      <c r="C165" s="185" t="s">
        <v>143</v>
      </c>
      <c r="D165" s="56">
        <v>430576.58880000003</v>
      </c>
    </row>
    <row r="166" spans="1:4" ht="16" hidden="1" thickBot="1" x14ac:dyDescent="0.4">
      <c r="A166" s="185" t="s">
        <v>23</v>
      </c>
      <c r="B166" s="186" t="s">
        <v>258</v>
      </c>
      <c r="C166" s="185" t="s">
        <v>7</v>
      </c>
      <c r="D166" s="228"/>
    </row>
    <row r="167" spans="1:4" ht="16" hidden="1" thickBot="1" x14ac:dyDescent="0.4">
      <c r="A167" s="185" t="s">
        <v>26</v>
      </c>
      <c r="B167" s="186" t="s">
        <v>148</v>
      </c>
      <c r="C167" s="185" t="s">
        <v>7</v>
      </c>
      <c r="D167" s="228" t="s">
        <v>150</v>
      </c>
    </row>
    <row r="168" spans="1:4" ht="16" hidden="1" thickBot="1" x14ac:dyDescent="0.4">
      <c r="A168" s="106"/>
      <c r="B168" s="91"/>
      <c r="C168" s="91"/>
      <c r="D168" s="91"/>
    </row>
    <row r="169" spans="1:4" ht="16" hidden="1" thickBot="1" x14ac:dyDescent="0.4">
      <c r="A169" s="102" t="s">
        <v>0</v>
      </c>
      <c r="B169" s="330" t="s">
        <v>2</v>
      </c>
      <c r="C169" s="330" t="s">
        <v>3</v>
      </c>
      <c r="D169" s="316" t="s">
        <v>4</v>
      </c>
    </row>
    <row r="170" spans="1:4" ht="16" hidden="1" thickBot="1" x14ac:dyDescent="0.4">
      <c r="A170" s="183" t="s">
        <v>1</v>
      </c>
      <c r="B170" s="330"/>
      <c r="C170" s="330"/>
      <c r="D170" s="316"/>
    </row>
    <row r="171" spans="1:4" ht="16" hidden="1" thickBot="1" x14ac:dyDescent="0.4">
      <c r="A171" s="185" t="s">
        <v>5</v>
      </c>
      <c r="B171" s="186" t="s">
        <v>6</v>
      </c>
      <c r="C171" s="185" t="s">
        <v>7</v>
      </c>
      <c r="D171" s="103">
        <v>43851</v>
      </c>
    </row>
    <row r="172" spans="1:4" ht="16" hidden="1" thickBot="1" x14ac:dyDescent="0.4">
      <c r="A172" s="185" t="s">
        <v>9</v>
      </c>
      <c r="B172" s="228" t="s">
        <v>152</v>
      </c>
      <c r="C172" s="185" t="s">
        <v>7</v>
      </c>
      <c r="D172" s="91"/>
    </row>
    <row r="173" spans="1:4" ht="16" hidden="1" thickBot="1" x14ac:dyDescent="0.4">
      <c r="A173" s="185" t="s">
        <v>15</v>
      </c>
      <c r="B173" s="186" t="s">
        <v>140</v>
      </c>
      <c r="C173" s="185" t="s">
        <v>141</v>
      </c>
      <c r="D173" s="228">
        <v>2.67</v>
      </c>
    </row>
    <row r="174" spans="1:4" ht="16" hidden="1" thickBot="1" x14ac:dyDescent="0.4">
      <c r="A174" s="185" t="s">
        <v>18</v>
      </c>
      <c r="B174" s="186" t="s">
        <v>142</v>
      </c>
      <c r="C174" s="185" t="s">
        <v>143</v>
      </c>
      <c r="D174" s="56">
        <v>430576.58880000003</v>
      </c>
    </row>
    <row r="175" spans="1:4" ht="16" hidden="1" thickBot="1" x14ac:dyDescent="0.4">
      <c r="A175" s="185" t="s">
        <v>23</v>
      </c>
      <c r="B175" s="186" t="s">
        <v>258</v>
      </c>
      <c r="C175" s="185" t="s">
        <v>7</v>
      </c>
      <c r="D175" s="228"/>
    </row>
    <row r="176" spans="1:4" ht="16" hidden="1" thickBot="1" x14ac:dyDescent="0.4">
      <c r="A176" s="185" t="s">
        <v>26</v>
      </c>
      <c r="B176" s="186" t="s">
        <v>148</v>
      </c>
      <c r="C176" s="185" t="s">
        <v>7</v>
      </c>
      <c r="D176" s="228" t="s">
        <v>150</v>
      </c>
    </row>
    <row r="177" spans="1:4" ht="16" hidden="1" thickBot="1" x14ac:dyDescent="0.4">
      <c r="A177" s="106"/>
      <c r="B177" s="91"/>
      <c r="C177" s="91"/>
      <c r="D177" s="91"/>
    </row>
    <row r="178" spans="1:4" ht="16" hidden="1" thickBot="1" x14ac:dyDescent="0.4">
      <c r="A178" s="102" t="s">
        <v>0</v>
      </c>
      <c r="B178" s="330" t="s">
        <v>2</v>
      </c>
      <c r="C178" s="330" t="s">
        <v>3</v>
      </c>
      <c r="D178" s="316" t="s">
        <v>4</v>
      </c>
    </row>
    <row r="179" spans="1:4" ht="16" hidden="1" thickBot="1" x14ac:dyDescent="0.4">
      <c r="A179" s="183" t="s">
        <v>1</v>
      </c>
      <c r="B179" s="330"/>
      <c r="C179" s="330"/>
      <c r="D179" s="316"/>
    </row>
    <row r="180" spans="1:4" ht="16" hidden="1" thickBot="1" x14ac:dyDescent="0.4">
      <c r="A180" s="185" t="s">
        <v>5</v>
      </c>
      <c r="B180" s="186" t="s">
        <v>6</v>
      </c>
      <c r="C180" s="185" t="s">
        <v>7</v>
      </c>
      <c r="D180" s="103">
        <v>43851</v>
      </c>
    </row>
    <row r="181" spans="1:4" ht="16" hidden="1" thickBot="1" x14ac:dyDescent="0.4">
      <c r="A181" s="185" t="s">
        <v>9</v>
      </c>
      <c r="B181" s="228" t="s">
        <v>153</v>
      </c>
      <c r="C181" s="185" t="s">
        <v>7</v>
      </c>
      <c r="D181" s="91"/>
    </row>
    <row r="182" spans="1:4" ht="16" hidden="1" thickBot="1" x14ac:dyDescent="0.4">
      <c r="A182" s="185" t="s">
        <v>15</v>
      </c>
      <c r="B182" s="186" t="s">
        <v>140</v>
      </c>
      <c r="C182" s="185" t="s">
        <v>141</v>
      </c>
      <c r="D182" s="228">
        <v>2.67</v>
      </c>
    </row>
    <row r="183" spans="1:4" ht="16" hidden="1" thickBot="1" x14ac:dyDescent="0.4">
      <c r="A183" s="185" t="s">
        <v>18</v>
      </c>
      <c r="B183" s="186" t="s">
        <v>142</v>
      </c>
      <c r="C183" s="185" t="s">
        <v>143</v>
      </c>
      <c r="D183" s="56">
        <v>430576.58880000003</v>
      </c>
    </row>
    <row r="184" spans="1:4" ht="16" hidden="1" thickBot="1" x14ac:dyDescent="0.4">
      <c r="A184" s="185" t="s">
        <v>23</v>
      </c>
      <c r="B184" s="186" t="s">
        <v>258</v>
      </c>
      <c r="C184" s="185" t="s">
        <v>7</v>
      </c>
      <c r="D184" s="228"/>
    </row>
    <row r="185" spans="1:4" ht="16" hidden="1" thickBot="1" x14ac:dyDescent="0.4">
      <c r="A185" s="185" t="s">
        <v>26</v>
      </c>
      <c r="B185" s="186" t="s">
        <v>148</v>
      </c>
      <c r="C185" s="185" t="s">
        <v>7</v>
      </c>
      <c r="D185" s="228" t="s">
        <v>155</v>
      </c>
    </row>
    <row r="186" spans="1:4" ht="16" hidden="1" thickBot="1" x14ac:dyDescent="0.4">
      <c r="A186" s="106"/>
      <c r="B186" s="91"/>
      <c r="C186" s="91"/>
      <c r="D186" s="91"/>
    </row>
    <row r="187" spans="1:4" ht="16" hidden="1" thickBot="1" x14ac:dyDescent="0.4">
      <c r="A187" s="102" t="s">
        <v>0</v>
      </c>
      <c r="B187" s="330" t="s">
        <v>2</v>
      </c>
      <c r="C187" s="330" t="s">
        <v>3</v>
      </c>
      <c r="D187" s="316" t="s">
        <v>4</v>
      </c>
    </row>
    <row r="188" spans="1:4" ht="16" hidden="1" thickBot="1" x14ac:dyDescent="0.4">
      <c r="A188" s="183" t="s">
        <v>1</v>
      </c>
      <c r="B188" s="330"/>
      <c r="C188" s="330"/>
      <c r="D188" s="316"/>
    </row>
    <row r="189" spans="1:4" ht="16" hidden="1" thickBot="1" x14ac:dyDescent="0.4">
      <c r="A189" s="185" t="s">
        <v>5</v>
      </c>
      <c r="B189" s="186" t="s">
        <v>6</v>
      </c>
      <c r="C189" s="185" t="s">
        <v>7</v>
      </c>
      <c r="D189" s="103">
        <v>43851</v>
      </c>
    </row>
    <row r="190" spans="1:4" ht="16" hidden="1" thickBot="1" x14ac:dyDescent="0.4">
      <c r="A190" s="185" t="s">
        <v>9</v>
      </c>
      <c r="B190" s="228" t="s">
        <v>156</v>
      </c>
      <c r="C190" s="185" t="s">
        <v>7</v>
      </c>
      <c r="D190" s="91"/>
    </row>
    <row r="191" spans="1:4" ht="16" hidden="1" thickBot="1" x14ac:dyDescent="0.4">
      <c r="A191" s="185" t="s">
        <v>15</v>
      </c>
      <c r="B191" s="186" t="s">
        <v>140</v>
      </c>
      <c r="C191" s="185" t="s">
        <v>141</v>
      </c>
      <c r="D191" s="228">
        <v>2.67</v>
      </c>
    </row>
    <row r="192" spans="1:4" ht="16" hidden="1" thickBot="1" x14ac:dyDescent="0.4">
      <c r="A192" s="185" t="s">
        <v>18</v>
      </c>
      <c r="B192" s="186" t="s">
        <v>142</v>
      </c>
      <c r="C192" s="185" t="s">
        <v>143</v>
      </c>
      <c r="D192" s="56">
        <v>430576.58880000003</v>
      </c>
    </row>
    <row r="193" spans="1:14" ht="16" hidden="1" thickBot="1" x14ac:dyDescent="0.4">
      <c r="A193" s="185" t="s">
        <v>23</v>
      </c>
      <c r="B193" s="186" t="s">
        <v>258</v>
      </c>
      <c r="C193" s="185" t="s">
        <v>7</v>
      </c>
      <c r="D193" s="228"/>
    </row>
    <row r="194" spans="1:14" ht="16" hidden="1" thickBot="1" x14ac:dyDescent="0.4">
      <c r="A194" s="185" t="s">
        <v>26</v>
      </c>
      <c r="B194" s="186" t="s">
        <v>148</v>
      </c>
      <c r="C194" s="185" t="s">
        <v>7</v>
      </c>
      <c r="D194" s="228" t="s">
        <v>150</v>
      </c>
    </row>
    <row r="195" spans="1:14" ht="16" hidden="1" thickBot="1" x14ac:dyDescent="0.4">
      <c r="A195" s="120"/>
      <c r="B195" s="121"/>
      <c r="C195" s="121"/>
      <c r="D195" s="121"/>
    </row>
    <row r="196" spans="1:14" ht="16" hidden="1" thickBot="1" x14ac:dyDescent="0.4">
      <c r="A196" s="100"/>
      <c r="B196" s="101"/>
      <c r="C196" s="101"/>
      <c r="D196" s="101"/>
    </row>
    <row r="197" spans="1:14" ht="16" hidden="1" thickBot="1" x14ac:dyDescent="0.4">
      <c r="A197" s="120"/>
      <c r="B197" s="121"/>
      <c r="C197" s="121"/>
      <c r="D197" s="121"/>
    </row>
    <row r="198" spans="1:14" hidden="1" x14ac:dyDescent="0.35">
      <c r="A198" s="116" t="s">
        <v>0</v>
      </c>
      <c r="B198" s="348" t="s">
        <v>2</v>
      </c>
      <c r="C198" s="348" t="s">
        <v>3</v>
      </c>
      <c r="D198" s="349" t="s">
        <v>4</v>
      </c>
    </row>
    <row r="199" spans="1:14" hidden="1" x14ac:dyDescent="0.35">
      <c r="A199" s="110" t="s">
        <v>1</v>
      </c>
      <c r="B199" s="330"/>
      <c r="C199" s="330"/>
      <c r="D199" s="350"/>
    </row>
    <row r="200" spans="1:14" ht="77.5" hidden="1" customHeight="1" x14ac:dyDescent="0.35">
      <c r="A200" s="111">
        <v>1</v>
      </c>
      <c r="B200" s="232" t="s">
        <v>349</v>
      </c>
      <c r="C200" s="185"/>
      <c r="D200" s="112">
        <v>0.05</v>
      </c>
      <c r="E200" s="57">
        <f>D200</f>
        <v>0.05</v>
      </c>
      <c r="K200" s="57">
        <v>13438.42</v>
      </c>
      <c r="M200" s="57">
        <f>K200*D200</f>
        <v>671.92100000000005</v>
      </c>
      <c r="N200" s="57">
        <f>M200*12</f>
        <v>8063.0520000000006</v>
      </c>
    </row>
    <row r="201" spans="1:14" hidden="1" x14ac:dyDescent="0.35">
      <c r="A201" s="111">
        <v>2</v>
      </c>
      <c r="B201" s="186" t="s">
        <v>142</v>
      </c>
      <c r="C201" s="185" t="s">
        <v>143</v>
      </c>
      <c r="D201" s="65">
        <f>N200</f>
        <v>8063.0520000000006</v>
      </c>
      <c r="F201" s="57">
        <f>D201</f>
        <v>8063.0520000000006</v>
      </c>
    </row>
    <row r="202" spans="1:14" hidden="1" x14ac:dyDescent="0.35">
      <c r="A202" s="111">
        <v>3</v>
      </c>
      <c r="B202" s="186" t="s">
        <v>258</v>
      </c>
      <c r="C202" s="185" t="s">
        <v>7</v>
      </c>
      <c r="D202" s="230" t="s">
        <v>306</v>
      </c>
    </row>
    <row r="203" spans="1:14" ht="16" hidden="1" thickBot="1" x14ac:dyDescent="0.4">
      <c r="A203" s="122">
        <v>4</v>
      </c>
      <c r="B203" s="123" t="s">
        <v>148</v>
      </c>
      <c r="C203" s="124" t="s">
        <v>7</v>
      </c>
      <c r="D203" s="233" t="s">
        <v>273</v>
      </c>
    </row>
    <row r="204" spans="1:14" x14ac:dyDescent="0.35">
      <c r="A204" s="102" t="s">
        <v>0</v>
      </c>
      <c r="B204" s="330" t="s">
        <v>2</v>
      </c>
      <c r="C204" s="330" t="s">
        <v>3</v>
      </c>
      <c r="D204" s="316" t="s">
        <v>4</v>
      </c>
      <c r="E204" s="316"/>
      <c r="F204" s="316"/>
      <c r="G204" s="316"/>
      <c r="H204" s="316"/>
    </row>
    <row r="205" spans="1:14" x14ac:dyDescent="0.35">
      <c r="A205" s="183" t="s">
        <v>1</v>
      </c>
      <c r="B205" s="330"/>
      <c r="C205" s="330"/>
      <c r="D205" s="316"/>
      <c r="E205" s="316"/>
      <c r="F205" s="316"/>
      <c r="G205" s="316"/>
      <c r="H205" s="316"/>
    </row>
    <row r="206" spans="1:14" ht="24.5" customHeight="1" x14ac:dyDescent="0.35">
      <c r="A206" s="185">
        <v>1</v>
      </c>
      <c r="B206" s="228" t="s">
        <v>302</v>
      </c>
      <c r="C206" s="185" t="s">
        <v>298</v>
      </c>
      <c r="D206" s="311">
        <v>4.47</v>
      </c>
      <c r="E206" s="311"/>
      <c r="F206" s="311"/>
      <c r="G206" s="311"/>
      <c r="H206" s="311"/>
      <c r="K206" s="57">
        <v>13438.42</v>
      </c>
      <c r="M206" s="57">
        <f>K206*D206</f>
        <v>60069.737399999998</v>
      </c>
      <c r="N206" s="57">
        <f>M206*12</f>
        <v>720836.84880000004</v>
      </c>
    </row>
    <row r="207" spans="1:14" x14ac:dyDescent="0.35">
      <c r="A207" s="185">
        <v>2</v>
      </c>
      <c r="B207" s="186" t="s">
        <v>430</v>
      </c>
      <c r="C207" s="185" t="s">
        <v>143</v>
      </c>
      <c r="D207" s="311">
        <f>[3]Лист_1!$AT$405</f>
        <v>716745.19239921717</v>
      </c>
      <c r="E207" s="311"/>
      <c r="F207" s="311"/>
      <c r="G207" s="311"/>
      <c r="H207" s="311"/>
    </row>
    <row r="208" spans="1:14" x14ac:dyDescent="0.35">
      <c r="A208" s="185">
        <v>3</v>
      </c>
      <c r="B208" s="186" t="s">
        <v>258</v>
      </c>
      <c r="C208" s="185" t="s">
        <v>7</v>
      </c>
      <c r="D208" s="311" t="s">
        <v>304</v>
      </c>
      <c r="E208" s="311"/>
      <c r="F208" s="311"/>
      <c r="G208" s="311"/>
      <c r="H208" s="311"/>
    </row>
    <row r="209" spans="1:15" x14ac:dyDescent="0.35">
      <c r="A209" s="185">
        <v>4</v>
      </c>
      <c r="B209" s="184" t="s">
        <v>350</v>
      </c>
      <c r="C209" s="185"/>
      <c r="D209" s="311">
        <f>'[4]К. Беляева 40Б'!$D$95</f>
        <v>774515.16399999987</v>
      </c>
      <c r="E209" s="311"/>
      <c r="F209" s="311"/>
      <c r="G209" s="311"/>
      <c r="H209" s="311"/>
    </row>
    <row r="210" spans="1:15" x14ac:dyDescent="0.35">
      <c r="A210" s="185">
        <v>5</v>
      </c>
      <c r="B210" s="184" t="s">
        <v>500</v>
      </c>
      <c r="C210" s="185"/>
      <c r="D210" s="311">
        <f>'[4]К. Беляева 40Б'!$D$96</f>
        <v>-577791.92785127182</v>
      </c>
      <c r="E210" s="311"/>
      <c r="F210" s="311"/>
      <c r="G210" s="311"/>
      <c r="H210" s="311"/>
    </row>
    <row r="211" spans="1:15" x14ac:dyDescent="0.35">
      <c r="A211" s="185">
        <v>6</v>
      </c>
      <c r="B211" s="186" t="s">
        <v>148</v>
      </c>
      <c r="C211" s="185" t="s">
        <v>7</v>
      </c>
      <c r="D211" s="311" t="s">
        <v>273</v>
      </c>
      <c r="E211" s="311"/>
      <c r="F211" s="311"/>
      <c r="G211" s="311"/>
      <c r="H211" s="311"/>
    </row>
    <row r="212" spans="1:15" ht="15.5" hidden="1" customHeight="1" x14ac:dyDescent="0.35">
      <c r="A212" s="102" t="s">
        <v>0</v>
      </c>
      <c r="B212" s="330" t="s">
        <v>2</v>
      </c>
      <c r="C212" s="330" t="s">
        <v>3</v>
      </c>
      <c r="D212" s="311" t="s">
        <v>4</v>
      </c>
      <c r="E212" s="311"/>
      <c r="F212" s="311"/>
      <c r="G212" s="311"/>
      <c r="H212" s="311"/>
    </row>
    <row r="213" spans="1:15" ht="15.5" hidden="1" customHeight="1" x14ac:dyDescent="0.35">
      <c r="A213" s="183" t="s">
        <v>1</v>
      </c>
      <c r="B213" s="330"/>
      <c r="C213" s="330"/>
      <c r="D213" s="311"/>
      <c r="E213" s="311"/>
      <c r="F213" s="311"/>
      <c r="G213" s="311"/>
      <c r="H213" s="311"/>
    </row>
    <row r="214" spans="1:15" ht="41" hidden="1" customHeight="1" x14ac:dyDescent="0.35">
      <c r="A214" s="185">
        <v>1</v>
      </c>
      <c r="B214" s="228" t="s">
        <v>265</v>
      </c>
      <c r="C214" s="185" t="s">
        <v>7</v>
      </c>
      <c r="D214" s="311">
        <f>[2]КБ40Б!$B$31</f>
        <v>5.0200000000000005</v>
      </c>
      <c r="E214" s="311">
        <f>D214</f>
        <v>5.0200000000000005</v>
      </c>
      <c r="F214" s="311"/>
      <c r="G214" s="311"/>
      <c r="H214" s="311"/>
      <c r="K214" s="57">
        <v>13438.42</v>
      </c>
      <c r="M214" s="57">
        <f>K214*D214</f>
        <v>67460.868400000007</v>
      </c>
      <c r="N214" s="57">
        <f>M214*12</f>
        <v>809530.42080000008</v>
      </c>
    </row>
    <row r="215" spans="1:15" ht="16" hidden="1" customHeight="1" x14ac:dyDescent="0.35">
      <c r="A215" s="185">
        <v>2</v>
      </c>
      <c r="B215" s="186" t="s">
        <v>142</v>
      </c>
      <c r="C215" s="185" t="s">
        <v>143</v>
      </c>
      <c r="D215" s="311">
        <f>[2]КБ40Б!$G$31</f>
        <v>851464.09659744019</v>
      </c>
      <c r="E215" s="311"/>
      <c r="F215" s="311">
        <f>D215</f>
        <v>851464.09659744019</v>
      </c>
      <c r="G215" s="311"/>
      <c r="H215" s="311"/>
    </row>
    <row r="216" spans="1:15" ht="39" hidden="1" customHeight="1" x14ac:dyDescent="0.35">
      <c r="A216" s="185">
        <v>3</v>
      </c>
      <c r="B216" s="186" t="s">
        <v>258</v>
      </c>
      <c r="C216" s="185" t="s">
        <v>7</v>
      </c>
      <c r="D216" s="311" t="s">
        <v>324</v>
      </c>
      <c r="E216" s="311">
        <f>SUM(E135:E215)</f>
        <v>21.130000000000003</v>
      </c>
      <c r="F216" s="311">
        <f>SUM(F135:F215)</f>
        <v>3490333.7614716101</v>
      </c>
      <c r="G216" s="311"/>
      <c r="H216" s="311"/>
    </row>
    <row r="217" spans="1:15" ht="16" hidden="1" customHeight="1" thickBot="1" x14ac:dyDescent="0.4">
      <c r="A217" s="185">
        <v>4</v>
      </c>
      <c r="B217" s="186" t="s">
        <v>148</v>
      </c>
      <c r="C217" s="185" t="s">
        <v>7</v>
      </c>
      <c r="D217" s="311" t="s">
        <v>155</v>
      </c>
      <c r="E217" s="311"/>
      <c r="F217" s="311"/>
      <c r="G217" s="311"/>
      <c r="H217" s="311"/>
    </row>
    <row r="218" spans="1:15" x14ac:dyDescent="0.35">
      <c r="A218" s="102" t="s">
        <v>0</v>
      </c>
      <c r="B218" s="330" t="s">
        <v>2</v>
      </c>
      <c r="C218" s="330" t="s">
        <v>3</v>
      </c>
      <c r="D218" s="311" t="s">
        <v>4</v>
      </c>
      <c r="E218" s="311"/>
      <c r="F218" s="311"/>
      <c r="G218" s="311"/>
      <c r="H218" s="311"/>
    </row>
    <row r="219" spans="1:15" x14ac:dyDescent="0.35">
      <c r="A219" s="183" t="s">
        <v>1</v>
      </c>
      <c r="B219" s="330"/>
      <c r="C219" s="330"/>
      <c r="D219" s="311"/>
      <c r="E219" s="311"/>
      <c r="F219" s="311"/>
      <c r="G219" s="311"/>
      <c r="H219" s="311"/>
    </row>
    <row r="220" spans="1:15" ht="19.5" customHeight="1" x14ac:dyDescent="0.35">
      <c r="A220" s="185">
        <v>1</v>
      </c>
      <c r="B220" s="228" t="s">
        <v>271</v>
      </c>
      <c r="C220" s="185" t="s">
        <v>7</v>
      </c>
      <c r="D220" s="311">
        <v>12.26</v>
      </c>
      <c r="E220" s="311"/>
      <c r="F220" s="311"/>
      <c r="G220" s="311"/>
      <c r="H220" s="311"/>
      <c r="K220" s="57">
        <v>13438.42</v>
      </c>
      <c r="M220" s="57">
        <f>K220*D220</f>
        <v>164755.02919999999</v>
      </c>
      <c r="N220" s="57">
        <f>M220*12</f>
        <v>1977060.3503999999</v>
      </c>
    </row>
    <row r="221" spans="1:15" x14ac:dyDescent="0.35">
      <c r="A221" s="185">
        <v>2</v>
      </c>
      <c r="B221" s="186" t="s">
        <v>142</v>
      </c>
      <c r="C221" s="185" t="s">
        <v>143</v>
      </c>
      <c r="D221" s="310">
        <f>[3]Лист_1!$AN$402</f>
        <v>2101418.4700000002</v>
      </c>
      <c r="E221" s="311"/>
      <c r="F221" s="311"/>
      <c r="G221" s="311"/>
      <c r="H221" s="311"/>
      <c r="N221" s="57">
        <v>1988010.53</v>
      </c>
      <c r="O221" s="57" t="s">
        <v>325</v>
      </c>
    </row>
    <row r="222" spans="1:15" x14ac:dyDescent="0.35">
      <c r="A222" s="185">
        <v>3</v>
      </c>
      <c r="B222" s="186" t="s">
        <v>258</v>
      </c>
      <c r="C222" s="185" t="s">
        <v>7</v>
      </c>
      <c r="D222" s="311" t="s">
        <v>352</v>
      </c>
      <c r="E222" s="311"/>
      <c r="F222" s="311"/>
      <c r="G222" s="311"/>
      <c r="H222" s="311"/>
      <c r="N222" s="57">
        <f>N221-N220</f>
        <v>10950.179600000149</v>
      </c>
    </row>
    <row r="223" spans="1:15" x14ac:dyDescent="0.35">
      <c r="A223" s="185">
        <v>4</v>
      </c>
      <c r="B223" s="186" t="s">
        <v>148</v>
      </c>
      <c r="C223" s="185" t="s">
        <v>7</v>
      </c>
      <c r="D223" s="311" t="s">
        <v>155</v>
      </c>
      <c r="E223" s="311"/>
      <c r="F223" s="311"/>
      <c r="G223" s="311"/>
      <c r="H223" s="311"/>
    </row>
    <row r="224" spans="1:15" x14ac:dyDescent="0.35">
      <c r="A224" s="102" t="s">
        <v>0</v>
      </c>
      <c r="B224" s="330" t="s">
        <v>2</v>
      </c>
      <c r="C224" s="330" t="s">
        <v>3</v>
      </c>
      <c r="D224" s="311" t="s">
        <v>4</v>
      </c>
      <c r="E224" s="311"/>
      <c r="F224" s="311"/>
      <c r="G224" s="311"/>
      <c r="H224" s="311"/>
    </row>
    <row r="225" spans="1:16" x14ac:dyDescent="0.35">
      <c r="A225" s="183" t="s">
        <v>1</v>
      </c>
      <c r="B225" s="330"/>
      <c r="C225" s="330"/>
      <c r="D225" s="311"/>
      <c r="E225" s="311"/>
      <c r="F225" s="311"/>
      <c r="G225" s="311"/>
      <c r="H225" s="311"/>
    </row>
    <row r="226" spans="1:16" ht="38" customHeight="1" x14ac:dyDescent="0.35">
      <c r="A226" s="185">
        <v>1</v>
      </c>
      <c r="B226" s="228" t="str">
        <f>[5]Лист_1!$N$7</f>
        <v>Доп.усл.по оформл.платеж.док-в на опл. взнос. на кап.ремонт</v>
      </c>
      <c r="C226" s="185" t="s">
        <v>297</v>
      </c>
      <c r="D226" s="311">
        <v>6</v>
      </c>
      <c r="E226" s="311"/>
      <c r="F226" s="311"/>
      <c r="G226" s="311"/>
      <c r="H226" s="311"/>
      <c r="K226" s="57">
        <f>D226*192</f>
        <v>1152</v>
      </c>
      <c r="L226" s="57">
        <f>K226*12</f>
        <v>13824</v>
      </c>
    </row>
    <row r="227" spans="1:16" x14ac:dyDescent="0.35">
      <c r="A227" s="185">
        <v>2</v>
      </c>
      <c r="B227" s="186" t="s">
        <v>142</v>
      </c>
      <c r="C227" s="185" t="s">
        <v>143</v>
      </c>
      <c r="D227" s="311">
        <v>19.29</v>
      </c>
      <c r="E227" s="311"/>
      <c r="F227" s="311"/>
      <c r="G227" s="311"/>
      <c r="H227" s="311"/>
    </row>
    <row r="228" spans="1:16" x14ac:dyDescent="0.35">
      <c r="A228" s="185">
        <v>3</v>
      </c>
      <c r="B228" s="186" t="s">
        <v>258</v>
      </c>
      <c r="C228" s="185" t="s">
        <v>7</v>
      </c>
      <c r="D228" s="311" t="s">
        <v>272</v>
      </c>
      <c r="E228" s="311"/>
      <c r="F228" s="311"/>
      <c r="G228" s="311"/>
      <c r="H228" s="311"/>
    </row>
    <row r="229" spans="1:16" x14ac:dyDescent="0.35">
      <c r="A229" s="185">
        <v>4</v>
      </c>
      <c r="B229" s="186" t="s">
        <v>148</v>
      </c>
      <c r="C229" s="185" t="s">
        <v>7</v>
      </c>
      <c r="D229" s="311" t="s">
        <v>155</v>
      </c>
      <c r="E229" s="311"/>
      <c r="F229" s="311"/>
      <c r="G229" s="311"/>
      <c r="H229" s="311"/>
    </row>
    <row r="230" spans="1:16" x14ac:dyDescent="0.35">
      <c r="A230" s="102" t="s">
        <v>0</v>
      </c>
      <c r="B230" s="330" t="s">
        <v>2</v>
      </c>
      <c r="C230" s="330" t="s">
        <v>3</v>
      </c>
      <c r="D230" s="311" t="s">
        <v>4</v>
      </c>
      <c r="E230" s="311"/>
      <c r="F230" s="311"/>
      <c r="G230" s="311"/>
      <c r="H230" s="311"/>
    </row>
    <row r="231" spans="1:16" x14ac:dyDescent="0.35">
      <c r="A231" s="183" t="s">
        <v>1</v>
      </c>
      <c r="B231" s="330"/>
      <c r="C231" s="330"/>
      <c r="D231" s="311"/>
      <c r="E231" s="311"/>
      <c r="F231" s="311"/>
      <c r="G231" s="311"/>
      <c r="H231" s="311"/>
    </row>
    <row r="232" spans="1:16" ht="39.5" customHeight="1" x14ac:dyDescent="0.35">
      <c r="A232" s="185">
        <v>1</v>
      </c>
      <c r="B232" s="228" t="str">
        <f>[5]Лист_1!$U$7</f>
        <v>Сод. тер. транспорта</v>
      </c>
      <c r="C232" s="185" t="s">
        <v>298</v>
      </c>
      <c r="D232" s="311">
        <v>900</v>
      </c>
      <c r="E232" s="311"/>
      <c r="F232" s="311"/>
      <c r="G232" s="311"/>
      <c r="H232" s="311"/>
      <c r="J232" s="57" t="e">
        <f>0.55*#REF!</f>
        <v>#REF!</v>
      </c>
      <c r="K232" s="57" t="e">
        <f>J232*12</f>
        <v>#REF!</v>
      </c>
    </row>
    <row r="233" spans="1:16" x14ac:dyDescent="0.35">
      <c r="A233" s="185">
        <v>2</v>
      </c>
      <c r="B233" s="186" t="s">
        <v>142</v>
      </c>
      <c r="C233" s="185" t="s">
        <v>143</v>
      </c>
      <c r="D233" s="310">
        <f>[3]Лист_1!$S$402</f>
        <v>543562.68999999994</v>
      </c>
      <c r="E233" s="311"/>
      <c r="F233" s="311"/>
      <c r="G233" s="311"/>
      <c r="H233" s="311"/>
      <c r="K233" s="57">
        <f>D232*50*12</f>
        <v>540000</v>
      </c>
      <c r="L233" s="57">
        <f>K233/900</f>
        <v>600</v>
      </c>
      <c r="N233" s="58">
        <f>[3]Лист_1!$S$400</f>
        <v>542700</v>
      </c>
      <c r="O233" s="57">
        <f>N233/12</f>
        <v>45225</v>
      </c>
      <c r="P233" s="57">
        <f>O233/900</f>
        <v>50.25</v>
      </c>
    </row>
    <row r="234" spans="1:16" x14ac:dyDescent="0.35">
      <c r="A234" s="185">
        <v>3</v>
      </c>
      <c r="B234" s="186" t="s">
        <v>258</v>
      </c>
      <c r="C234" s="185" t="s">
        <v>7</v>
      </c>
      <c r="D234" s="311" t="s">
        <v>326</v>
      </c>
      <c r="E234" s="311"/>
      <c r="F234" s="311"/>
      <c r="G234" s="311"/>
      <c r="H234" s="311"/>
    </row>
    <row r="235" spans="1:16" x14ac:dyDescent="0.35">
      <c r="A235" s="185">
        <v>4</v>
      </c>
      <c r="B235" s="186" t="s">
        <v>377</v>
      </c>
      <c r="C235" s="185" t="str">
        <f>C233</f>
        <v>Руб.</v>
      </c>
      <c r="D235" s="310">
        <f>'[6]факт 2025г'!$J$20</f>
        <v>690816.14451588783</v>
      </c>
      <c r="E235" s="311"/>
      <c r="F235" s="311"/>
      <c r="G235" s="311"/>
      <c r="H235" s="311"/>
      <c r="J235" s="57" t="s">
        <v>379</v>
      </c>
    </row>
    <row r="236" spans="1:16" x14ac:dyDescent="0.35">
      <c r="A236" s="185">
        <v>6</v>
      </c>
      <c r="B236" s="186" t="s">
        <v>148</v>
      </c>
      <c r="C236" s="185" t="s">
        <v>7</v>
      </c>
      <c r="D236" s="311" t="s">
        <v>378</v>
      </c>
      <c r="E236" s="311"/>
      <c r="F236" s="311"/>
      <c r="G236" s="311"/>
      <c r="H236" s="311"/>
    </row>
    <row r="237" spans="1:16" x14ac:dyDescent="0.35">
      <c r="A237" s="102" t="s">
        <v>0</v>
      </c>
      <c r="B237" s="330" t="s">
        <v>2</v>
      </c>
      <c r="C237" s="330" t="s">
        <v>3</v>
      </c>
      <c r="D237" s="311" t="s">
        <v>4</v>
      </c>
      <c r="E237" s="311"/>
      <c r="F237" s="311"/>
      <c r="G237" s="311"/>
      <c r="H237" s="311"/>
    </row>
    <row r="238" spans="1:16" x14ac:dyDescent="0.35">
      <c r="A238" s="183" t="s">
        <v>1</v>
      </c>
      <c r="B238" s="330"/>
      <c r="C238" s="330"/>
      <c r="D238" s="311"/>
      <c r="E238" s="311"/>
      <c r="F238" s="311"/>
      <c r="G238" s="311"/>
      <c r="H238" s="311"/>
    </row>
    <row r="239" spans="1:16" ht="16" hidden="1" customHeight="1" x14ac:dyDescent="0.35">
      <c r="A239" s="185" t="s">
        <v>5</v>
      </c>
      <c r="B239" s="186" t="s">
        <v>6</v>
      </c>
      <c r="C239" s="185" t="s">
        <v>7</v>
      </c>
      <c r="D239" s="311">
        <v>43851</v>
      </c>
      <c r="E239" s="311"/>
      <c r="F239" s="311"/>
      <c r="G239" s="311"/>
      <c r="H239" s="311"/>
    </row>
    <row r="240" spans="1:16" x14ac:dyDescent="0.35">
      <c r="A240" s="185">
        <v>1</v>
      </c>
      <c r="B240" s="186" t="s">
        <v>149</v>
      </c>
      <c r="C240" s="185" t="s">
        <v>7</v>
      </c>
      <c r="D240" s="334" t="s">
        <v>157</v>
      </c>
      <c r="E240" s="334"/>
      <c r="F240" s="334"/>
      <c r="G240" s="334"/>
      <c r="H240" s="334"/>
    </row>
    <row r="241" spans="1:11" x14ac:dyDescent="0.35">
      <c r="A241" s="185">
        <v>2</v>
      </c>
      <c r="B241" s="186" t="s">
        <v>154</v>
      </c>
      <c r="C241" s="185" t="s">
        <v>7</v>
      </c>
      <c r="D241" s="311" t="s">
        <v>158</v>
      </c>
      <c r="E241" s="311"/>
      <c r="F241" s="311"/>
      <c r="G241" s="311"/>
      <c r="H241" s="311"/>
    </row>
    <row r="242" spans="1:11" x14ac:dyDescent="0.35">
      <c r="A242" s="185">
        <v>3</v>
      </c>
      <c r="B242" s="186" t="s">
        <v>264</v>
      </c>
      <c r="C242" s="125"/>
      <c r="D242" s="311"/>
      <c r="E242" s="311"/>
      <c r="F242" s="311"/>
      <c r="G242" s="311"/>
      <c r="H242" s="311"/>
    </row>
    <row r="243" spans="1:11" x14ac:dyDescent="0.35">
      <c r="A243" s="185" t="s">
        <v>218</v>
      </c>
      <c r="B243" s="184" t="s">
        <v>353</v>
      </c>
      <c r="C243" s="126" t="s">
        <v>308</v>
      </c>
      <c r="D243" s="311">
        <v>0.17599999999999999</v>
      </c>
      <c r="E243" s="311"/>
      <c r="F243" s="311"/>
      <c r="G243" s="311"/>
      <c r="H243" s="311"/>
    </row>
    <row r="244" spans="1:11" x14ac:dyDescent="0.35">
      <c r="A244" s="185" t="s">
        <v>219</v>
      </c>
      <c r="B244" s="184" t="s">
        <v>354</v>
      </c>
      <c r="C244" s="126" t="s">
        <v>308</v>
      </c>
      <c r="D244" s="311">
        <v>0.58099999999999996</v>
      </c>
      <c r="E244" s="311"/>
      <c r="F244" s="311"/>
      <c r="G244" s="311"/>
      <c r="H244" s="311"/>
    </row>
    <row r="245" spans="1:11" x14ac:dyDescent="0.35">
      <c r="A245" s="185" t="s">
        <v>221</v>
      </c>
      <c r="B245" s="184" t="s">
        <v>161</v>
      </c>
      <c r="C245" s="126" t="s">
        <v>309</v>
      </c>
      <c r="D245" s="311">
        <v>0.17599999999999999</v>
      </c>
      <c r="E245" s="311"/>
      <c r="F245" s="311"/>
      <c r="G245" s="311"/>
      <c r="H245" s="311"/>
    </row>
    <row r="246" spans="1:11" x14ac:dyDescent="0.35">
      <c r="A246" s="185" t="s">
        <v>222</v>
      </c>
      <c r="B246" s="184" t="s">
        <v>163</v>
      </c>
      <c r="C246" s="126" t="s">
        <v>310</v>
      </c>
      <c r="D246" s="311">
        <v>6.2</v>
      </c>
      <c r="E246" s="311"/>
      <c r="F246" s="311"/>
      <c r="G246" s="311"/>
      <c r="H246" s="311"/>
    </row>
    <row r="247" spans="1:11" x14ac:dyDescent="0.35">
      <c r="A247" s="185" t="s">
        <v>355</v>
      </c>
      <c r="B247" s="184" t="s">
        <v>165</v>
      </c>
      <c r="C247" s="126" t="s">
        <v>311</v>
      </c>
      <c r="D247" s="311">
        <v>0.309</v>
      </c>
      <c r="E247" s="311"/>
      <c r="F247" s="311"/>
      <c r="G247" s="311"/>
      <c r="H247" s="311"/>
    </row>
    <row r="248" spans="1:11" x14ac:dyDescent="0.35">
      <c r="A248" s="185">
        <v>4</v>
      </c>
      <c r="B248" s="332" t="s">
        <v>147</v>
      </c>
      <c r="C248" s="332"/>
      <c r="D248" s="332"/>
      <c r="E248" s="332"/>
      <c r="F248" s="332"/>
      <c r="G248" s="332"/>
      <c r="H248" s="332"/>
    </row>
    <row r="249" spans="1:11" x14ac:dyDescent="0.35">
      <c r="A249" s="185" t="s">
        <v>159</v>
      </c>
      <c r="B249" s="184" t="s">
        <v>356</v>
      </c>
      <c r="C249" s="126" t="s">
        <v>141</v>
      </c>
      <c r="D249" s="311">
        <f>[3]Лист_1!$L$402</f>
        <v>26332.07</v>
      </c>
      <c r="E249" s="311"/>
      <c r="F249" s="311"/>
      <c r="G249" s="311"/>
      <c r="H249" s="311"/>
      <c r="K249" s="58"/>
    </row>
    <row r="250" spans="1:11" x14ac:dyDescent="0.35">
      <c r="A250" s="185" t="s">
        <v>160</v>
      </c>
      <c r="B250" s="184" t="s">
        <v>357</v>
      </c>
      <c r="C250" s="126"/>
      <c r="D250" s="311">
        <f>[3]Лист_1!$M$402</f>
        <v>88241.279999999999</v>
      </c>
      <c r="E250" s="311"/>
      <c r="F250" s="311"/>
      <c r="G250" s="311"/>
      <c r="H250" s="311"/>
      <c r="K250" s="58"/>
    </row>
    <row r="251" spans="1:11" x14ac:dyDescent="0.35">
      <c r="A251" s="185" t="s">
        <v>162</v>
      </c>
      <c r="B251" s="184" t="s">
        <v>161</v>
      </c>
      <c r="C251" s="126" t="s">
        <v>141</v>
      </c>
      <c r="D251" s="311">
        <f>[3]Лист_1!$Y$402</f>
        <v>26332.01</v>
      </c>
      <c r="E251" s="311"/>
      <c r="F251" s="311"/>
      <c r="G251" s="311"/>
      <c r="H251" s="311"/>
    </row>
    <row r="252" spans="1:11" x14ac:dyDescent="0.35">
      <c r="A252" s="185" t="s">
        <v>164</v>
      </c>
      <c r="B252" s="184" t="s">
        <v>163</v>
      </c>
      <c r="C252" s="126" t="s">
        <v>141</v>
      </c>
      <c r="D252" s="310">
        <f>[3]Лист_1!$L$402</f>
        <v>26332.07</v>
      </c>
      <c r="E252" s="311"/>
      <c r="F252" s="311"/>
      <c r="G252" s="311"/>
      <c r="H252" s="311"/>
    </row>
    <row r="253" spans="1:11" x14ac:dyDescent="0.35">
      <c r="A253" s="185" t="s">
        <v>358</v>
      </c>
      <c r="B253" s="184" t="s">
        <v>165</v>
      </c>
      <c r="C253" s="126" t="s">
        <v>141</v>
      </c>
      <c r="D253" s="311">
        <f>[3]Лист_1!$H$402</f>
        <v>42739.86</v>
      </c>
      <c r="E253" s="311"/>
      <c r="F253" s="311"/>
      <c r="G253" s="311"/>
      <c r="H253" s="311"/>
    </row>
    <row r="254" spans="1:11" x14ac:dyDescent="0.35">
      <c r="A254" s="185">
        <v>5</v>
      </c>
      <c r="B254" s="184" t="s">
        <v>476</v>
      </c>
      <c r="C254" s="126" t="s">
        <v>141</v>
      </c>
      <c r="D254" s="310">
        <f>[3]Лист_1!$AB$402</f>
        <v>-511677.8</v>
      </c>
      <c r="E254" s="311"/>
      <c r="F254" s="311"/>
      <c r="G254" s="311"/>
      <c r="H254" s="311"/>
    </row>
    <row r="255" spans="1:11" x14ac:dyDescent="0.35">
      <c r="A255" s="185" t="s">
        <v>21</v>
      </c>
      <c r="B255" s="184" t="s">
        <v>296</v>
      </c>
      <c r="C255" s="126" t="s">
        <v>141</v>
      </c>
      <c r="D255" s="310">
        <f>[3]Лист_1!$AA$402</f>
        <v>-56192.35</v>
      </c>
      <c r="E255" s="311"/>
      <c r="F255" s="311"/>
      <c r="G255" s="311"/>
      <c r="H255" s="311"/>
    </row>
    <row r="256" spans="1:11" x14ac:dyDescent="0.35">
      <c r="A256" s="185" t="s">
        <v>23</v>
      </c>
      <c r="B256" s="184" t="s">
        <v>144</v>
      </c>
      <c r="C256" s="126" t="s">
        <v>7</v>
      </c>
      <c r="D256" s="311" t="s">
        <v>359</v>
      </c>
      <c r="E256" s="311"/>
      <c r="F256" s="311"/>
      <c r="G256" s="311"/>
      <c r="H256" s="311"/>
    </row>
    <row r="257" spans="1:11" ht="36" customHeight="1" x14ac:dyDescent="0.35">
      <c r="A257" s="185" t="s">
        <v>23</v>
      </c>
      <c r="B257" s="186" t="s">
        <v>145</v>
      </c>
      <c r="C257" s="185" t="s">
        <v>7</v>
      </c>
      <c r="D257" s="333" t="s">
        <v>429</v>
      </c>
      <c r="E257" s="333"/>
      <c r="F257" s="333"/>
      <c r="G257" s="333"/>
      <c r="H257" s="333"/>
    </row>
    <row r="258" spans="1:11" x14ac:dyDescent="0.35">
      <c r="A258" s="335" t="s">
        <v>266</v>
      </c>
      <c r="B258" s="335"/>
      <c r="C258" s="335"/>
      <c r="D258" s="335"/>
      <c r="E258" s="91"/>
      <c r="F258" s="91"/>
      <c r="G258" s="91"/>
      <c r="H258" s="91"/>
    </row>
    <row r="259" spans="1:11" x14ac:dyDescent="0.35">
      <c r="A259" s="102" t="s">
        <v>0</v>
      </c>
      <c r="B259" s="330" t="s">
        <v>2</v>
      </c>
      <c r="C259" s="330" t="s">
        <v>3</v>
      </c>
      <c r="D259" s="311" t="s">
        <v>4</v>
      </c>
      <c r="E259" s="311"/>
      <c r="F259" s="311"/>
      <c r="G259" s="311"/>
      <c r="H259" s="311"/>
    </row>
    <row r="260" spans="1:11" x14ac:dyDescent="0.35">
      <c r="A260" s="183" t="s">
        <v>1</v>
      </c>
      <c r="B260" s="330"/>
      <c r="C260" s="330"/>
      <c r="D260" s="311"/>
      <c r="E260" s="311"/>
      <c r="F260" s="311"/>
      <c r="G260" s="311"/>
      <c r="H260" s="311"/>
    </row>
    <row r="261" spans="1:11" x14ac:dyDescent="0.35">
      <c r="A261" s="185" t="s">
        <v>5</v>
      </c>
      <c r="B261" s="186" t="s">
        <v>170</v>
      </c>
      <c r="C261" s="185" t="s">
        <v>7</v>
      </c>
      <c r="D261" s="311" t="s">
        <v>171</v>
      </c>
      <c r="E261" s="311"/>
      <c r="F261" s="311"/>
      <c r="G261" s="311"/>
      <c r="H261" s="311"/>
      <c r="K261" s="57" t="s">
        <v>368</v>
      </c>
    </row>
    <row r="262" spans="1:11" x14ac:dyDescent="0.35">
      <c r="A262" s="185" t="s">
        <v>9</v>
      </c>
      <c r="B262" s="186" t="s">
        <v>106</v>
      </c>
      <c r="C262" s="185" t="s">
        <v>7</v>
      </c>
      <c r="D262" s="311" t="s">
        <v>115</v>
      </c>
      <c r="E262" s="311"/>
      <c r="F262" s="311"/>
      <c r="G262" s="311"/>
      <c r="H262" s="311"/>
      <c r="K262" s="57" t="s">
        <v>369</v>
      </c>
    </row>
    <row r="263" spans="1:11" x14ac:dyDescent="0.35">
      <c r="A263" s="336" t="s">
        <v>12</v>
      </c>
      <c r="B263" s="186" t="s">
        <v>172</v>
      </c>
      <c r="C263" s="336" t="s">
        <v>141</v>
      </c>
      <c r="D263" s="311" t="s">
        <v>360</v>
      </c>
      <c r="E263" s="311"/>
      <c r="F263" s="311"/>
      <c r="G263" s="311"/>
      <c r="H263" s="311"/>
    </row>
    <row r="264" spans="1:11" ht="15.5" hidden="1" customHeight="1" x14ac:dyDescent="0.35">
      <c r="A264" s="336"/>
      <c r="B264" s="186"/>
      <c r="C264" s="336"/>
      <c r="D264" s="311">
        <v>33.03</v>
      </c>
      <c r="E264" s="311"/>
      <c r="F264" s="311"/>
      <c r="G264" s="311"/>
      <c r="H264" s="311"/>
    </row>
    <row r="265" spans="1:11" ht="15.5" hidden="1" customHeight="1" x14ac:dyDescent="0.35">
      <c r="A265" s="336"/>
      <c r="B265" s="186"/>
      <c r="C265" s="336"/>
      <c r="D265" s="311"/>
      <c r="E265" s="311"/>
      <c r="F265" s="311"/>
      <c r="G265" s="311"/>
      <c r="H265" s="311"/>
    </row>
    <row r="266" spans="1:11" ht="15.5" hidden="1" customHeight="1" x14ac:dyDescent="0.35">
      <c r="A266" s="336"/>
      <c r="B266" s="127"/>
      <c r="C266" s="336"/>
      <c r="D266" s="311"/>
      <c r="E266" s="311"/>
      <c r="F266" s="311"/>
      <c r="G266" s="311"/>
      <c r="H266" s="311"/>
    </row>
    <row r="267" spans="1:11" x14ac:dyDescent="0.35">
      <c r="A267" s="185" t="s">
        <v>15</v>
      </c>
      <c r="B267" s="186" t="s">
        <v>173</v>
      </c>
      <c r="C267" s="185" t="s">
        <v>7</v>
      </c>
      <c r="D267" s="311" t="s">
        <v>174</v>
      </c>
      <c r="E267" s="311"/>
      <c r="F267" s="311"/>
      <c r="G267" s="311"/>
      <c r="H267" s="311"/>
    </row>
    <row r="268" spans="1:11" ht="25" x14ac:dyDescent="0.35">
      <c r="A268" s="185" t="s">
        <v>18</v>
      </c>
      <c r="B268" s="186" t="s">
        <v>175</v>
      </c>
      <c r="C268" s="185" t="s">
        <v>7</v>
      </c>
      <c r="D268" s="311" t="s">
        <v>314</v>
      </c>
      <c r="E268" s="311"/>
      <c r="F268" s="311"/>
      <c r="G268" s="311"/>
      <c r="H268" s="311"/>
    </row>
    <row r="269" spans="1:11" x14ac:dyDescent="0.35">
      <c r="A269" s="185" t="s">
        <v>21</v>
      </c>
      <c r="B269" s="186" t="s">
        <v>176</v>
      </c>
      <c r="C269" s="185" t="s">
        <v>7</v>
      </c>
      <c r="D269" s="311" t="s">
        <v>359</v>
      </c>
      <c r="E269" s="311"/>
      <c r="F269" s="311"/>
      <c r="G269" s="311"/>
      <c r="H269" s="311"/>
    </row>
    <row r="270" spans="1:11" x14ac:dyDescent="0.35">
      <c r="A270" s="185" t="s">
        <v>23</v>
      </c>
      <c r="B270" s="186" t="s">
        <v>180</v>
      </c>
      <c r="C270" s="185" t="s">
        <v>141</v>
      </c>
      <c r="D270" s="311">
        <f>[3]Лист_1!$W$402</f>
        <v>614893.11</v>
      </c>
      <c r="E270" s="311"/>
      <c r="F270" s="311"/>
      <c r="G270" s="311"/>
      <c r="H270" s="311"/>
    </row>
    <row r="271" spans="1:11" x14ac:dyDescent="0.35">
      <c r="A271" s="185" t="s">
        <v>26</v>
      </c>
      <c r="B271" s="186" t="s">
        <v>181</v>
      </c>
      <c r="C271" s="185" t="s">
        <v>141</v>
      </c>
      <c r="D271" s="311">
        <f>[3]Лист_1!$AW$402</f>
        <v>593061.71</v>
      </c>
      <c r="E271" s="311"/>
      <c r="F271" s="311"/>
      <c r="G271" s="311"/>
      <c r="H271" s="311"/>
    </row>
    <row r="272" spans="1:11" x14ac:dyDescent="0.35">
      <c r="A272" s="185" t="s">
        <v>29</v>
      </c>
      <c r="B272" s="186" t="s">
        <v>182</v>
      </c>
      <c r="C272" s="185" t="s">
        <v>141</v>
      </c>
      <c r="D272" s="311">
        <f>D270-D271</f>
        <v>21831.400000000023</v>
      </c>
      <c r="E272" s="311"/>
      <c r="F272" s="311"/>
      <c r="G272" s="311"/>
      <c r="H272" s="311"/>
    </row>
    <row r="273" spans="1:13" x14ac:dyDescent="0.35">
      <c r="A273" s="185" t="s">
        <v>31</v>
      </c>
      <c r="B273" s="186" t="s">
        <v>183</v>
      </c>
      <c r="C273" s="185" t="s">
        <v>141</v>
      </c>
      <c r="D273" s="311">
        <f>D270</f>
        <v>614893.11</v>
      </c>
      <c r="E273" s="311"/>
      <c r="F273" s="311"/>
      <c r="G273" s="311"/>
      <c r="H273" s="311"/>
      <c r="K273" s="57" t="s">
        <v>361</v>
      </c>
      <c r="L273" s="57" t="s">
        <v>362</v>
      </c>
      <c r="M273" s="57" t="s">
        <v>363</v>
      </c>
    </row>
    <row r="274" spans="1:13" x14ac:dyDescent="0.35">
      <c r="A274" s="185" t="s">
        <v>34</v>
      </c>
      <c r="B274" s="186" t="s">
        <v>184</v>
      </c>
      <c r="C274" s="185" t="s">
        <v>141</v>
      </c>
      <c r="D274" s="311">
        <f>D273</f>
        <v>614893.11</v>
      </c>
      <c r="E274" s="311"/>
      <c r="F274" s="311"/>
      <c r="G274" s="311"/>
      <c r="H274" s="311"/>
      <c r="J274" s="58">
        <f>D274-D270</f>
        <v>0</v>
      </c>
      <c r="K274" s="58">
        <f>D249+D251</f>
        <v>52664.08</v>
      </c>
      <c r="L274" s="58">
        <f>J274-K274</f>
        <v>-52664.08</v>
      </c>
    </row>
    <row r="275" spans="1:13" x14ac:dyDescent="0.35">
      <c r="A275" s="102" t="s">
        <v>0</v>
      </c>
      <c r="B275" s="330" t="s">
        <v>2</v>
      </c>
      <c r="C275" s="330" t="s">
        <v>3</v>
      </c>
      <c r="D275" s="311" t="s">
        <v>4</v>
      </c>
      <c r="E275" s="311"/>
      <c r="F275" s="311"/>
      <c r="G275" s="311"/>
      <c r="H275" s="311"/>
    </row>
    <row r="276" spans="1:13" x14ac:dyDescent="0.35">
      <c r="A276" s="183" t="s">
        <v>1</v>
      </c>
      <c r="B276" s="330"/>
      <c r="C276" s="330"/>
      <c r="D276" s="311"/>
      <c r="E276" s="311"/>
      <c r="F276" s="311"/>
      <c r="G276" s="311"/>
      <c r="H276" s="311"/>
    </row>
    <row r="277" spans="1:13" x14ac:dyDescent="0.35">
      <c r="A277" s="185" t="s">
        <v>5</v>
      </c>
      <c r="B277" s="186" t="s">
        <v>367</v>
      </c>
      <c r="C277" s="185" t="s">
        <v>7</v>
      </c>
      <c r="D277" s="311" t="s">
        <v>366</v>
      </c>
      <c r="E277" s="311"/>
      <c r="F277" s="311"/>
      <c r="G277" s="311"/>
      <c r="H277" s="311"/>
    </row>
    <row r="278" spans="1:13" x14ac:dyDescent="0.35">
      <c r="A278" s="185" t="s">
        <v>9</v>
      </c>
      <c r="B278" s="186" t="s">
        <v>106</v>
      </c>
      <c r="C278" s="185" t="s">
        <v>7</v>
      </c>
      <c r="D278" s="311" t="s">
        <v>115</v>
      </c>
      <c r="E278" s="311"/>
      <c r="F278" s="311"/>
      <c r="G278" s="311"/>
      <c r="H278" s="311"/>
    </row>
    <row r="279" spans="1:13" x14ac:dyDescent="0.35">
      <c r="A279" s="336" t="s">
        <v>12</v>
      </c>
      <c r="B279" s="186" t="s">
        <v>172</v>
      </c>
      <c r="C279" s="336" t="s">
        <v>141</v>
      </c>
      <c r="D279" s="311" t="s">
        <v>360</v>
      </c>
      <c r="E279" s="311"/>
      <c r="F279" s="311"/>
      <c r="G279" s="311"/>
      <c r="H279" s="311"/>
    </row>
    <row r="280" spans="1:13" ht="15.5" hidden="1" customHeight="1" x14ac:dyDescent="0.35">
      <c r="A280" s="336"/>
      <c r="B280" s="186"/>
      <c r="C280" s="336"/>
      <c r="D280" s="311">
        <v>33.03</v>
      </c>
      <c r="E280" s="311"/>
      <c r="F280" s="311"/>
      <c r="G280" s="311"/>
      <c r="H280" s="311"/>
    </row>
    <row r="281" spans="1:13" ht="15.5" hidden="1" customHeight="1" x14ac:dyDescent="0.35">
      <c r="A281" s="336"/>
      <c r="B281" s="186"/>
      <c r="C281" s="336"/>
      <c r="D281" s="311"/>
      <c r="E281" s="311"/>
      <c r="F281" s="311"/>
      <c r="G281" s="311"/>
      <c r="H281" s="311"/>
    </row>
    <row r="282" spans="1:13" ht="15.5" hidden="1" customHeight="1" x14ac:dyDescent="0.35">
      <c r="A282" s="336"/>
      <c r="B282" s="127"/>
      <c r="C282" s="336"/>
      <c r="D282" s="311"/>
      <c r="E282" s="311"/>
      <c r="F282" s="311"/>
      <c r="G282" s="311"/>
      <c r="H282" s="311"/>
    </row>
    <row r="283" spans="1:13" x14ac:dyDescent="0.35">
      <c r="A283" s="185" t="s">
        <v>15</v>
      </c>
      <c r="B283" s="186" t="s">
        <v>173</v>
      </c>
      <c r="C283" s="185" t="s">
        <v>7</v>
      </c>
      <c r="D283" s="311" t="s">
        <v>174</v>
      </c>
      <c r="E283" s="311"/>
      <c r="F283" s="311"/>
      <c r="G283" s="311"/>
      <c r="H283" s="311"/>
    </row>
    <row r="284" spans="1:13" ht="25" x14ac:dyDescent="0.35">
      <c r="A284" s="185" t="s">
        <v>18</v>
      </c>
      <c r="B284" s="186" t="s">
        <v>175</v>
      </c>
      <c r="C284" s="185" t="s">
        <v>7</v>
      </c>
      <c r="D284" s="311" t="s">
        <v>314</v>
      </c>
      <c r="E284" s="311"/>
      <c r="F284" s="311"/>
      <c r="G284" s="311"/>
      <c r="H284" s="311"/>
    </row>
    <row r="285" spans="1:13" x14ac:dyDescent="0.35">
      <c r="A285" s="185" t="s">
        <v>21</v>
      </c>
      <c r="B285" s="186" t="s">
        <v>176</v>
      </c>
      <c r="C285" s="185" t="s">
        <v>7</v>
      </c>
      <c r="D285" s="311" t="s">
        <v>359</v>
      </c>
      <c r="E285" s="311"/>
      <c r="F285" s="311"/>
      <c r="G285" s="311"/>
      <c r="H285" s="311"/>
    </row>
    <row r="286" spans="1:13" x14ac:dyDescent="0.35">
      <c r="A286" s="185" t="s">
        <v>23</v>
      </c>
      <c r="B286" s="186" t="s">
        <v>172</v>
      </c>
      <c r="C286" s="185" t="s">
        <v>141</v>
      </c>
      <c r="D286" s="311" t="s">
        <v>360</v>
      </c>
      <c r="E286" s="311"/>
      <c r="F286" s="311"/>
      <c r="G286" s="311"/>
      <c r="H286" s="311"/>
    </row>
    <row r="287" spans="1:13" x14ac:dyDescent="0.35">
      <c r="A287" s="185" t="s">
        <v>26</v>
      </c>
      <c r="B287" s="186" t="s">
        <v>180</v>
      </c>
      <c r="C287" s="185"/>
      <c r="D287" s="311">
        <f>[3]Лист_1!$X$410</f>
        <v>464510.84557534708</v>
      </c>
      <c r="E287" s="311"/>
      <c r="F287" s="311"/>
      <c r="G287" s="311"/>
      <c r="H287" s="311"/>
    </row>
    <row r="288" spans="1:13" x14ac:dyDescent="0.35">
      <c r="A288" s="185" t="s">
        <v>29</v>
      </c>
      <c r="B288" s="186" t="s">
        <v>181</v>
      </c>
      <c r="C288" s="185" t="s">
        <v>141</v>
      </c>
      <c r="D288" s="311">
        <f>[3]Лист_1!$AX$408</f>
        <v>514693.91557534714</v>
      </c>
      <c r="E288" s="311"/>
      <c r="F288" s="311"/>
      <c r="G288" s="311"/>
      <c r="H288" s="311"/>
    </row>
    <row r="289" spans="1:12" x14ac:dyDescent="0.35">
      <c r="A289" s="185" t="s">
        <v>31</v>
      </c>
      <c r="B289" s="186" t="s">
        <v>182</v>
      </c>
      <c r="C289" s="185" t="s">
        <v>141</v>
      </c>
      <c r="D289" s="311">
        <v>0</v>
      </c>
      <c r="E289" s="311"/>
      <c r="F289" s="311"/>
      <c r="G289" s="311"/>
      <c r="H289" s="311"/>
    </row>
    <row r="290" spans="1:12" x14ac:dyDescent="0.35">
      <c r="A290" s="185" t="s">
        <v>34</v>
      </c>
      <c r="B290" s="186" t="s">
        <v>183</v>
      </c>
      <c r="C290" s="185" t="s">
        <v>141</v>
      </c>
      <c r="D290" s="311">
        <f>D287</f>
        <v>464510.84557534708</v>
      </c>
      <c r="E290" s="311"/>
      <c r="F290" s="311"/>
      <c r="G290" s="311"/>
      <c r="H290" s="311"/>
    </row>
    <row r="291" spans="1:12" x14ac:dyDescent="0.35">
      <c r="A291" s="185" t="s">
        <v>36</v>
      </c>
      <c r="B291" s="186" t="s">
        <v>184</v>
      </c>
      <c r="C291" s="185" t="s">
        <v>141</v>
      </c>
      <c r="D291" s="311">
        <f>D290</f>
        <v>464510.84557534708</v>
      </c>
      <c r="E291" s="311"/>
      <c r="F291" s="311"/>
      <c r="G291" s="311"/>
      <c r="H291" s="311"/>
      <c r="J291" s="58"/>
      <c r="K291" s="58"/>
      <c r="L291" s="58"/>
    </row>
    <row r="292" spans="1:12" x14ac:dyDescent="0.35">
      <c r="A292" s="102" t="s">
        <v>0</v>
      </c>
      <c r="B292" s="330" t="s">
        <v>2</v>
      </c>
      <c r="C292" s="330" t="s">
        <v>3</v>
      </c>
      <c r="D292" s="311" t="s">
        <v>4</v>
      </c>
      <c r="E292" s="311"/>
      <c r="F292" s="311"/>
      <c r="G292" s="311"/>
      <c r="H292" s="311"/>
    </row>
    <row r="293" spans="1:12" x14ac:dyDescent="0.35">
      <c r="A293" s="183" t="s">
        <v>1</v>
      </c>
      <c r="B293" s="330"/>
      <c r="C293" s="330"/>
      <c r="D293" s="311"/>
      <c r="E293" s="311"/>
      <c r="F293" s="311"/>
      <c r="G293" s="311"/>
      <c r="H293" s="311"/>
    </row>
    <row r="294" spans="1:12" x14ac:dyDescent="0.35">
      <c r="A294" s="185" t="s">
        <v>9</v>
      </c>
      <c r="B294" s="186" t="s">
        <v>185</v>
      </c>
      <c r="C294" s="185" t="s">
        <v>7</v>
      </c>
      <c r="D294" s="311" t="s">
        <v>165</v>
      </c>
      <c r="E294" s="311"/>
      <c r="F294" s="311"/>
      <c r="G294" s="311"/>
      <c r="H294" s="311"/>
    </row>
    <row r="295" spans="1:12" x14ac:dyDescent="0.35">
      <c r="A295" s="185" t="s">
        <v>12</v>
      </c>
      <c r="B295" s="186" t="s">
        <v>106</v>
      </c>
      <c r="C295" s="185" t="s">
        <v>7</v>
      </c>
      <c r="D295" s="311" t="s">
        <v>115</v>
      </c>
      <c r="E295" s="311"/>
      <c r="F295" s="311"/>
      <c r="G295" s="311"/>
      <c r="H295" s="311"/>
    </row>
    <row r="296" spans="1:12" x14ac:dyDescent="0.35">
      <c r="A296" s="185" t="s">
        <v>15</v>
      </c>
      <c r="B296" s="186" t="s">
        <v>186</v>
      </c>
      <c r="C296" s="185" t="s">
        <v>141</v>
      </c>
      <c r="D296" s="311" t="s">
        <v>364</v>
      </c>
      <c r="E296" s="311"/>
      <c r="F296" s="311"/>
      <c r="G296" s="311"/>
      <c r="H296" s="311"/>
    </row>
    <row r="297" spans="1:12" x14ac:dyDescent="0.35">
      <c r="A297" s="185" t="s">
        <v>18</v>
      </c>
      <c r="B297" s="186" t="s">
        <v>173</v>
      </c>
      <c r="C297" s="185" t="s">
        <v>7</v>
      </c>
      <c r="D297" s="311" t="s">
        <v>174</v>
      </c>
      <c r="E297" s="311"/>
      <c r="F297" s="311"/>
      <c r="G297" s="311"/>
      <c r="H297" s="311"/>
    </row>
    <row r="298" spans="1:12" ht="25" x14ac:dyDescent="0.35">
      <c r="A298" s="185" t="s">
        <v>21</v>
      </c>
      <c r="B298" s="186" t="s">
        <v>175</v>
      </c>
      <c r="C298" s="185" t="s">
        <v>7</v>
      </c>
      <c r="D298" s="311" t="s">
        <v>314</v>
      </c>
      <c r="E298" s="311"/>
      <c r="F298" s="311"/>
      <c r="G298" s="311"/>
      <c r="H298" s="311"/>
    </row>
    <row r="299" spans="1:12" x14ac:dyDescent="0.35">
      <c r="A299" s="185" t="s">
        <v>23</v>
      </c>
      <c r="B299" s="186" t="s">
        <v>176</v>
      </c>
      <c r="C299" s="185" t="s">
        <v>7</v>
      </c>
      <c r="D299" s="311" t="s">
        <v>359</v>
      </c>
      <c r="E299" s="311"/>
      <c r="F299" s="311"/>
      <c r="G299" s="311"/>
      <c r="H299" s="311"/>
    </row>
    <row r="300" spans="1:12" ht="15.5" hidden="1" customHeight="1" x14ac:dyDescent="0.35">
      <c r="A300" s="185" t="s">
        <v>26</v>
      </c>
      <c r="B300" s="186" t="s">
        <v>178</v>
      </c>
      <c r="C300" s="185" t="s">
        <v>179</v>
      </c>
      <c r="D300" s="311" t="s">
        <v>187</v>
      </c>
      <c r="E300" s="311"/>
      <c r="F300" s="311"/>
      <c r="G300" s="311"/>
      <c r="H300" s="311"/>
    </row>
    <row r="301" spans="1:12" x14ac:dyDescent="0.35">
      <c r="A301" s="185">
        <v>9</v>
      </c>
      <c r="B301" s="186" t="s">
        <v>180</v>
      </c>
      <c r="C301" s="185" t="s">
        <v>141</v>
      </c>
      <c r="D301" s="311">
        <f>D270+D287</f>
        <v>1079403.9555753469</v>
      </c>
      <c r="E301" s="311"/>
      <c r="F301" s="311"/>
      <c r="G301" s="311"/>
      <c r="H301" s="311"/>
    </row>
    <row r="302" spans="1:12" x14ac:dyDescent="0.35">
      <c r="A302" s="185">
        <v>10</v>
      </c>
      <c r="B302" s="186" t="s">
        <v>181</v>
      </c>
      <c r="C302" s="185" t="s">
        <v>141</v>
      </c>
      <c r="D302" s="311">
        <f>D271+D288</f>
        <v>1107755.6255753471</v>
      </c>
      <c r="E302" s="311"/>
      <c r="F302" s="311"/>
      <c r="G302" s="311"/>
      <c r="H302" s="311"/>
    </row>
    <row r="303" spans="1:12" x14ac:dyDescent="0.35">
      <c r="A303" s="185">
        <v>11</v>
      </c>
      <c r="B303" s="186" t="s">
        <v>188</v>
      </c>
      <c r="C303" s="185" t="s">
        <v>141</v>
      </c>
      <c r="D303" s="311">
        <f>D301-D302</f>
        <v>-28351.670000000158</v>
      </c>
      <c r="E303" s="311"/>
      <c r="F303" s="311"/>
      <c r="G303" s="311"/>
      <c r="H303" s="311"/>
    </row>
    <row r="304" spans="1:12" x14ac:dyDescent="0.35">
      <c r="A304" s="185">
        <v>12</v>
      </c>
      <c r="B304" s="186" t="s">
        <v>183</v>
      </c>
      <c r="C304" s="185" t="s">
        <v>141</v>
      </c>
      <c r="D304" s="311">
        <f>D301</f>
        <v>1079403.9555753469</v>
      </c>
      <c r="E304" s="311"/>
      <c r="F304" s="311"/>
      <c r="G304" s="311"/>
      <c r="H304" s="311"/>
    </row>
    <row r="305" spans="1:11" x14ac:dyDescent="0.35">
      <c r="A305" s="185">
        <v>13</v>
      </c>
      <c r="B305" s="186" t="s">
        <v>184</v>
      </c>
      <c r="C305" s="185" t="s">
        <v>141</v>
      </c>
      <c r="D305" s="311">
        <f>D304</f>
        <v>1079403.9555753469</v>
      </c>
      <c r="E305" s="311"/>
      <c r="F305" s="311"/>
      <c r="G305" s="311"/>
      <c r="H305" s="311"/>
    </row>
    <row r="306" spans="1:11" x14ac:dyDescent="0.35">
      <c r="A306" s="102">
        <v>14</v>
      </c>
      <c r="B306" s="176" t="s">
        <v>445</v>
      </c>
      <c r="C306" s="183"/>
      <c r="D306" s="311">
        <f>D301-D302</f>
        <v>-28351.670000000158</v>
      </c>
      <c r="E306" s="311"/>
      <c r="F306" s="311"/>
      <c r="G306" s="311"/>
      <c r="H306" s="311"/>
    </row>
    <row r="307" spans="1:11" x14ac:dyDescent="0.35">
      <c r="A307" s="102" t="s">
        <v>0</v>
      </c>
      <c r="B307" s="183" t="s">
        <v>2</v>
      </c>
      <c r="C307" s="183" t="s">
        <v>3</v>
      </c>
      <c r="D307" s="311" t="s">
        <v>4</v>
      </c>
      <c r="E307" s="311"/>
      <c r="F307" s="311"/>
      <c r="G307" s="311"/>
      <c r="H307" s="311"/>
    </row>
    <row r="308" spans="1:11" x14ac:dyDescent="0.35">
      <c r="A308" s="183" t="s">
        <v>1</v>
      </c>
      <c r="B308" s="234"/>
      <c r="C308" s="234"/>
      <c r="D308" s="311"/>
      <c r="E308" s="311"/>
      <c r="F308" s="311"/>
      <c r="G308" s="311"/>
      <c r="H308" s="311"/>
    </row>
    <row r="309" spans="1:11" x14ac:dyDescent="0.35">
      <c r="A309" s="185">
        <v>1</v>
      </c>
      <c r="B309" s="186" t="s">
        <v>268</v>
      </c>
      <c r="C309" s="235" t="s">
        <v>7</v>
      </c>
      <c r="D309" s="311" t="s">
        <v>370</v>
      </c>
      <c r="E309" s="311"/>
      <c r="F309" s="311"/>
      <c r="G309" s="311"/>
      <c r="H309" s="311"/>
    </row>
    <row r="310" spans="1:11" x14ac:dyDescent="0.35">
      <c r="A310" s="185">
        <v>2</v>
      </c>
      <c r="B310" s="186" t="s">
        <v>106</v>
      </c>
      <c r="C310" s="235" t="s">
        <v>7</v>
      </c>
      <c r="D310" s="311" t="s">
        <v>107</v>
      </c>
      <c r="E310" s="311"/>
      <c r="F310" s="311"/>
      <c r="G310" s="311"/>
      <c r="H310" s="311"/>
    </row>
    <row r="311" spans="1:11" ht="28" customHeight="1" x14ac:dyDescent="0.35">
      <c r="A311" s="185">
        <v>3</v>
      </c>
      <c r="B311" s="186" t="s">
        <v>365</v>
      </c>
      <c r="C311" s="235" t="s">
        <v>141</v>
      </c>
      <c r="D311" s="311" t="s">
        <v>371</v>
      </c>
      <c r="E311" s="311"/>
      <c r="F311" s="311"/>
      <c r="G311" s="311"/>
      <c r="H311" s="311"/>
    </row>
    <row r="312" spans="1:11" x14ac:dyDescent="0.35">
      <c r="A312" s="185">
        <v>4</v>
      </c>
      <c r="B312" s="186" t="s">
        <v>173</v>
      </c>
      <c r="C312" s="235" t="s">
        <v>7</v>
      </c>
      <c r="D312" s="311" t="s">
        <v>317</v>
      </c>
      <c r="E312" s="311"/>
      <c r="F312" s="311"/>
      <c r="G312" s="311"/>
      <c r="H312" s="311"/>
    </row>
    <row r="313" spans="1:11" ht="25" x14ac:dyDescent="0.35">
      <c r="A313" s="185">
        <v>5</v>
      </c>
      <c r="B313" s="186" t="s">
        <v>175</v>
      </c>
      <c r="C313" s="235" t="s">
        <v>7</v>
      </c>
      <c r="D313" s="311" t="s">
        <v>314</v>
      </c>
      <c r="E313" s="311"/>
      <c r="F313" s="311"/>
      <c r="G313" s="311"/>
      <c r="H313" s="311"/>
    </row>
    <row r="314" spans="1:11" x14ac:dyDescent="0.35">
      <c r="A314" s="185">
        <v>6</v>
      </c>
      <c r="B314" s="186" t="s">
        <v>176</v>
      </c>
      <c r="C314" s="235" t="s">
        <v>7</v>
      </c>
      <c r="D314" s="311" t="s">
        <v>372</v>
      </c>
      <c r="E314" s="311"/>
      <c r="F314" s="311"/>
      <c r="G314" s="311"/>
      <c r="H314" s="311"/>
    </row>
    <row r="315" spans="1:11" x14ac:dyDescent="0.35">
      <c r="A315" s="185">
        <v>7</v>
      </c>
      <c r="B315" s="186" t="s">
        <v>180</v>
      </c>
      <c r="C315" s="185" t="s">
        <v>141</v>
      </c>
      <c r="D315" s="311">
        <f>[3]Лист_1!$U$410</f>
        <v>1314560.2244246528</v>
      </c>
      <c r="E315" s="311"/>
      <c r="F315" s="311"/>
      <c r="G315" s="311"/>
      <c r="H315" s="311"/>
      <c r="K315" s="57" t="s">
        <v>373</v>
      </c>
    </row>
    <row r="316" spans="1:11" x14ac:dyDescent="0.35">
      <c r="A316" s="185">
        <v>8</v>
      </c>
      <c r="B316" s="186" t="s">
        <v>181</v>
      </c>
      <c r="C316" s="185" t="s">
        <v>141</v>
      </c>
      <c r="D316" s="311">
        <f>[3]Лист_1!$AU$409</f>
        <v>1722048.65</v>
      </c>
      <c r="E316" s="311"/>
      <c r="F316" s="311"/>
      <c r="G316" s="311"/>
      <c r="H316" s="311"/>
    </row>
    <row r="317" spans="1:11" x14ac:dyDescent="0.35">
      <c r="A317" s="185">
        <v>9</v>
      </c>
      <c r="B317" s="186" t="s">
        <v>188</v>
      </c>
      <c r="C317" s="185" t="s">
        <v>141</v>
      </c>
      <c r="D317" s="311">
        <v>0</v>
      </c>
      <c r="E317" s="311"/>
      <c r="F317" s="311"/>
      <c r="G317" s="311"/>
      <c r="H317" s="311"/>
    </row>
    <row r="318" spans="1:11" x14ac:dyDescent="0.35">
      <c r="A318" s="185">
        <v>10</v>
      </c>
      <c r="B318" s="186" t="s">
        <v>183</v>
      </c>
      <c r="C318" s="185" t="s">
        <v>141</v>
      </c>
      <c r="D318" s="311">
        <f>D315</f>
        <v>1314560.2244246528</v>
      </c>
      <c r="E318" s="311"/>
      <c r="F318" s="311"/>
      <c r="G318" s="311"/>
      <c r="H318" s="311"/>
    </row>
    <row r="319" spans="1:11" x14ac:dyDescent="0.35">
      <c r="A319" s="185">
        <v>11</v>
      </c>
      <c r="B319" s="186" t="s">
        <v>184</v>
      </c>
      <c r="C319" s="185" t="s">
        <v>141</v>
      </c>
      <c r="D319" s="311">
        <f>D318</f>
        <v>1314560.2244246528</v>
      </c>
      <c r="E319" s="311"/>
      <c r="F319" s="311"/>
      <c r="G319" s="311"/>
      <c r="H319" s="311"/>
    </row>
    <row r="320" spans="1:11" ht="15.5" hidden="1" customHeight="1" x14ac:dyDescent="0.35">
      <c r="A320" s="106"/>
      <c r="B320" s="91"/>
      <c r="C320" s="91"/>
      <c r="D320" s="311"/>
      <c r="E320" s="311"/>
      <c r="F320" s="311"/>
      <c r="G320" s="311"/>
      <c r="H320" s="311"/>
    </row>
    <row r="321" spans="1:27" x14ac:dyDescent="0.35">
      <c r="A321" s="102" t="s">
        <v>0</v>
      </c>
      <c r="B321" s="330" t="s">
        <v>2</v>
      </c>
      <c r="C321" s="330" t="s">
        <v>3</v>
      </c>
      <c r="D321" s="311" t="s">
        <v>4</v>
      </c>
      <c r="E321" s="311"/>
      <c r="F321" s="311"/>
      <c r="G321" s="311"/>
      <c r="H321" s="311"/>
    </row>
    <row r="322" spans="1:27" x14ac:dyDescent="0.35">
      <c r="A322" s="183" t="s">
        <v>1</v>
      </c>
      <c r="B322" s="330"/>
      <c r="C322" s="330"/>
      <c r="D322" s="311"/>
      <c r="E322" s="311"/>
      <c r="F322" s="311"/>
      <c r="G322" s="311"/>
      <c r="H322" s="311"/>
    </row>
    <row r="323" spans="1:27" x14ac:dyDescent="0.35">
      <c r="A323" s="185">
        <v>1</v>
      </c>
      <c r="B323" s="186" t="s">
        <v>189</v>
      </c>
      <c r="C323" s="185" t="s">
        <v>7</v>
      </c>
      <c r="D323" s="311" t="s">
        <v>190</v>
      </c>
      <c r="E323" s="311"/>
      <c r="F323" s="311"/>
      <c r="G323" s="311"/>
      <c r="H323" s="311"/>
    </row>
    <row r="324" spans="1:27" x14ac:dyDescent="0.35">
      <c r="A324" s="185">
        <v>2</v>
      </c>
      <c r="B324" s="186" t="s">
        <v>106</v>
      </c>
      <c r="C324" s="185" t="s">
        <v>7</v>
      </c>
      <c r="D324" s="311" t="s">
        <v>191</v>
      </c>
      <c r="E324" s="311"/>
      <c r="F324" s="311"/>
      <c r="G324" s="311"/>
      <c r="H324" s="311"/>
    </row>
    <row r="325" spans="1:27" x14ac:dyDescent="0.35">
      <c r="A325" s="336">
        <v>3</v>
      </c>
      <c r="B325" s="186" t="s">
        <v>192</v>
      </c>
      <c r="C325" s="336" t="s">
        <v>141</v>
      </c>
      <c r="D325" s="311"/>
      <c r="E325" s="311"/>
      <c r="F325" s="311"/>
      <c r="G325" s="311"/>
      <c r="H325" s="311"/>
    </row>
    <row r="326" spans="1:27" x14ac:dyDescent="0.35">
      <c r="A326" s="336"/>
      <c r="B326" s="186"/>
      <c r="C326" s="336"/>
      <c r="D326" s="311" t="s">
        <v>374</v>
      </c>
      <c r="E326" s="311"/>
      <c r="F326" s="311"/>
      <c r="G326" s="311"/>
      <c r="H326" s="311"/>
    </row>
    <row r="327" spans="1:27" x14ac:dyDescent="0.35">
      <c r="A327" s="185">
        <v>4</v>
      </c>
      <c r="B327" s="186" t="s">
        <v>173</v>
      </c>
      <c r="C327" s="185" t="s">
        <v>7</v>
      </c>
      <c r="D327" s="311" t="s">
        <v>193</v>
      </c>
      <c r="E327" s="311"/>
      <c r="F327" s="311"/>
      <c r="G327" s="311"/>
      <c r="H327" s="311"/>
    </row>
    <row r="328" spans="1:27" ht="25" x14ac:dyDescent="0.35">
      <c r="A328" s="185">
        <v>5</v>
      </c>
      <c r="B328" s="186" t="s">
        <v>175</v>
      </c>
      <c r="C328" s="185" t="s">
        <v>7</v>
      </c>
      <c r="D328" s="311" t="s">
        <v>315</v>
      </c>
      <c r="E328" s="311"/>
      <c r="F328" s="311"/>
      <c r="G328" s="311"/>
      <c r="H328" s="311"/>
    </row>
    <row r="329" spans="1:27" x14ac:dyDescent="0.35">
      <c r="A329" s="185">
        <v>6</v>
      </c>
      <c r="B329" s="186" t="s">
        <v>176</v>
      </c>
      <c r="C329" s="235" t="s">
        <v>7</v>
      </c>
      <c r="D329" s="311" t="s">
        <v>313</v>
      </c>
      <c r="E329" s="311"/>
      <c r="F329" s="311"/>
      <c r="G329" s="311"/>
      <c r="H329" s="311"/>
    </row>
    <row r="330" spans="1:27" x14ac:dyDescent="0.35">
      <c r="A330" s="185">
        <v>7</v>
      </c>
      <c r="B330" s="186" t="s">
        <v>180</v>
      </c>
      <c r="C330" s="185" t="s">
        <v>141</v>
      </c>
      <c r="D330" s="311">
        <f>[3]Лист_1!$AC$402</f>
        <v>1522737.99</v>
      </c>
      <c r="E330" s="311"/>
      <c r="F330" s="311"/>
      <c r="G330" s="311"/>
      <c r="H330" s="311"/>
    </row>
    <row r="331" spans="1:27" x14ac:dyDescent="0.35">
      <c r="A331" s="185">
        <v>8</v>
      </c>
      <c r="B331" s="186" t="s">
        <v>181</v>
      </c>
      <c r="C331" s="185" t="s">
        <v>141</v>
      </c>
      <c r="D331" s="311">
        <f>[3]Лист_1!$BD$402</f>
        <v>1566452.62</v>
      </c>
      <c r="E331" s="311"/>
      <c r="F331" s="311"/>
      <c r="G331" s="311"/>
      <c r="H331" s="311"/>
    </row>
    <row r="332" spans="1:27" x14ac:dyDescent="0.35">
      <c r="A332" s="185">
        <v>9</v>
      </c>
      <c r="B332" s="186" t="s">
        <v>188</v>
      </c>
      <c r="C332" s="185" t="s">
        <v>141</v>
      </c>
      <c r="D332" s="311">
        <f>D330-D331</f>
        <v>-43714.630000000121</v>
      </c>
      <c r="E332" s="311"/>
      <c r="F332" s="311"/>
      <c r="G332" s="311"/>
      <c r="H332" s="311"/>
      <c r="T332" s="57" t="s">
        <v>361</v>
      </c>
      <c r="U332" s="57" t="s">
        <v>381</v>
      </c>
    </row>
    <row r="333" spans="1:27" x14ac:dyDescent="0.35">
      <c r="A333" s="185">
        <v>10</v>
      </c>
      <c r="B333" s="186" t="s">
        <v>183</v>
      </c>
      <c r="C333" s="185" t="s">
        <v>141</v>
      </c>
      <c r="D333" s="311">
        <f>D330</f>
        <v>1522737.99</v>
      </c>
      <c r="E333" s="311"/>
      <c r="F333" s="311"/>
      <c r="G333" s="311"/>
      <c r="H333" s="311"/>
      <c r="T333" s="58">
        <f>D252</f>
        <v>26332.07</v>
      </c>
      <c r="U333" s="58">
        <v>2457570</v>
      </c>
      <c r="V333" s="58"/>
    </row>
    <row r="334" spans="1:27" x14ac:dyDescent="0.35">
      <c r="A334" s="185">
        <v>11</v>
      </c>
      <c r="B334" s="186" t="s">
        <v>184</v>
      </c>
      <c r="C334" s="185" t="s">
        <v>141</v>
      </c>
      <c r="D334" s="311">
        <f>D333</f>
        <v>1522737.99</v>
      </c>
      <c r="E334" s="311"/>
      <c r="F334" s="311"/>
      <c r="G334" s="311"/>
      <c r="H334" s="311"/>
      <c r="T334" s="58"/>
      <c r="U334" s="58">
        <f>U333-T333</f>
        <v>2431237.9300000002</v>
      </c>
      <c r="V334" s="58" t="s">
        <v>382</v>
      </c>
      <c r="Y334" s="58">
        <f>D334-D330</f>
        <v>0</v>
      </c>
      <c r="Z334" s="58">
        <f>Y334-D252</f>
        <v>-26332.07</v>
      </c>
      <c r="AA334" s="57" t="s">
        <v>375</v>
      </c>
    </row>
    <row r="335" spans="1:27" ht="15.5" hidden="1" customHeight="1" x14ac:dyDescent="0.35">
      <c r="A335" s="185"/>
      <c r="B335" s="186"/>
      <c r="C335" s="185"/>
      <c r="D335" s="311"/>
      <c r="E335" s="311"/>
      <c r="F335" s="311"/>
      <c r="G335" s="311"/>
      <c r="H335" s="311"/>
      <c r="T335" s="58"/>
      <c r="U335" s="58"/>
      <c r="V335" s="58"/>
    </row>
    <row r="336" spans="1:27" ht="15.5" hidden="1" customHeight="1" x14ac:dyDescent="0.35">
      <c r="A336" s="106"/>
      <c r="B336" s="91"/>
      <c r="C336" s="91"/>
      <c r="D336" s="311"/>
      <c r="E336" s="311"/>
      <c r="F336" s="311"/>
      <c r="G336" s="311"/>
      <c r="H336" s="311"/>
      <c r="T336" s="58"/>
      <c r="U336" s="58"/>
      <c r="V336" s="58"/>
    </row>
    <row r="337" spans="1:22" ht="15.5" hidden="1" customHeight="1" x14ac:dyDescent="0.35">
      <c r="A337" s="102" t="s">
        <v>0</v>
      </c>
      <c r="B337" s="330" t="s">
        <v>2</v>
      </c>
      <c r="C337" s="330" t="s">
        <v>3</v>
      </c>
      <c r="D337" s="311" t="s">
        <v>4</v>
      </c>
      <c r="E337" s="311"/>
      <c r="F337" s="311"/>
      <c r="G337" s="311"/>
      <c r="H337" s="311"/>
      <c r="T337" s="58"/>
      <c r="U337" s="58"/>
      <c r="V337" s="58"/>
    </row>
    <row r="338" spans="1:22" ht="15.5" hidden="1" customHeight="1" x14ac:dyDescent="0.35">
      <c r="A338" s="183" t="s">
        <v>1</v>
      </c>
      <c r="B338" s="330"/>
      <c r="C338" s="330"/>
      <c r="D338" s="311"/>
      <c r="E338" s="311"/>
      <c r="F338" s="311"/>
      <c r="G338" s="311"/>
      <c r="H338" s="311"/>
      <c r="T338" s="58"/>
      <c r="U338" s="58"/>
      <c r="V338" s="58"/>
    </row>
    <row r="339" spans="1:22" ht="15.5" hidden="1" customHeight="1" x14ac:dyDescent="0.35">
      <c r="A339" s="185" t="s">
        <v>5</v>
      </c>
      <c r="B339" s="186" t="s">
        <v>6</v>
      </c>
      <c r="C339" s="185" t="s">
        <v>7</v>
      </c>
      <c r="D339" s="311">
        <v>43851</v>
      </c>
      <c r="E339" s="311"/>
      <c r="F339" s="311"/>
      <c r="G339" s="311"/>
      <c r="H339" s="311"/>
      <c r="T339" s="58"/>
      <c r="U339" s="58"/>
      <c r="V339" s="58"/>
    </row>
    <row r="340" spans="1:22" ht="15.5" hidden="1" customHeight="1" x14ac:dyDescent="0.35">
      <c r="A340" s="185" t="s">
        <v>9</v>
      </c>
      <c r="B340" s="186" t="s">
        <v>194</v>
      </c>
      <c r="C340" s="185" t="s">
        <v>7</v>
      </c>
      <c r="D340" s="311" t="s">
        <v>195</v>
      </c>
      <c r="E340" s="311"/>
      <c r="F340" s="311"/>
      <c r="G340" s="311"/>
      <c r="H340" s="311"/>
      <c r="T340" s="58"/>
      <c r="U340" s="58"/>
      <c r="V340" s="58"/>
    </row>
    <row r="341" spans="1:22" ht="15.5" hidden="1" customHeight="1" x14ac:dyDescent="0.35">
      <c r="A341" s="185" t="s">
        <v>12</v>
      </c>
      <c r="B341" s="186" t="s">
        <v>106</v>
      </c>
      <c r="C341" s="185" t="s">
        <v>7</v>
      </c>
      <c r="D341" s="311" t="s">
        <v>107</v>
      </c>
      <c r="E341" s="311"/>
      <c r="F341" s="311"/>
      <c r="G341" s="311"/>
      <c r="H341" s="311"/>
      <c r="T341" s="58"/>
      <c r="U341" s="58"/>
      <c r="V341" s="58"/>
    </row>
    <row r="342" spans="1:22" ht="15.5" hidden="1" customHeight="1" x14ac:dyDescent="0.35">
      <c r="A342" s="185" t="s">
        <v>15</v>
      </c>
      <c r="B342" s="186" t="s">
        <v>172</v>
      </c>
      <c r="C342" s="185" t="s">
        <v>141</v>
      </c>
      <c r="D342" s="311" t="s">
        <v>196</v>
      </c>
      <c r="E342" s="311"/>
      <c r="F342" s="311"/>
      <c r="G342" s="311"/>
      <c r="H342" s="311"/>
      <c r="T342" s="58"/>
      <c r="U342" s="58"/>
      <c r="V342" s="58"/>
    </row>
    <row r="343" spans="1:22" ht="15.5" hidden="1" customHeight="1" x14ac:dyDescent="0.35">
      <c r="A343" s="185" t="s">
        <v>18</v>
      </c>
      <c r="B343" s="186" t="s">
        <v>173</v>
      </c>
      <c r="C343" s="185" t="s">
        <v>7</v>
      </c>
      <c r="D343" s="311" t="s">
        <v>197</v>
      </c>
      <c r="E343" s="311"/>
      <c r="F343" s="311"/>
      <c r="G343" s="311"/>
      <c r="H343" s="311"/>
      <c r="T343" s="58"/>
      <c r="U343" s="58"/>
      <c r="V343" s="58"/>
    </row>
    <row r="344" spans="1:22" ht="15.5" hidden="1" customHeight="1" x14ac:dyDescent="0.35">
      <c r="A344" s="336" t="s">
        <v>21</v>
      </c>
      <c r="B344" s="359" t="s">
        <v>175</v>
      </c>
      <c r="C344" s="336" t="s">
        <v>7</v>
      </c>
      <c r="D344" s="311" t="s">
        <v>198</v>
      </c>
      <c r="E344" s="311"/>
      <c r="F344" s="311"/>
      <c r="G344" s="311"/>
      <c r="H344" s="311"/>
      <c r="T344" s="58"/>
      <c r="U344" s="58"/>
      <c r="V344" s="58"/>
    </row>
    <row r="345" spans="1:22" ht="26" hidden="1" customHeight="1" x14ac:dyDescent="0.35">
      <c r="A345" s="336"/>
      <c r="B345" s="359"/>
      <c r="C345" s="336"/>
      <c r="D345" s="311" t="s">
        <v>199</v>
      </c>
      <c r="E345" s="311"/>
      <c r="F345" s="311"/>
      <c r="G345" s="311"/>
      <c r="H345" s="311"/>
      <c r="T345" s="58"/>
      <c r="U345" s="58"/>
      <c r="V345" s="58"/>
    </row>
    <row r="346" spans="1:22" ht="15.5" hidden="1" customHeight="1" x14ac:dyDescent="0.35">
      <c r="A346" s="185" t="s">
        <v>23</v>
      </c>
      <c r="B346" s="186" t="s">
        <v>176</v>
      </c>
      <c r="C346" s="235" t="s">
        <v>7</v>
      </c>
      <c r="D346" s="311" t="s">
        <v>177</v>
      </c>
      <c r="E346" s="311"/>
      <c r="F346" s="311"/>
      <c r="G346" s="311"/>
      <c r="H346" s="311"/>
      <c r="T346" s="58"/>
      <c r="U346" s="58"/>
      <c r="V346" s="58"/>
    </row>
    <row r="347" spans="1:22" ht="15.5" hidden="1" customHeight="1" x14ac:dyDescent="0.35">
      <c r="A347" s="185" t="s">
        <v>26</v>
      </c>
      <c r="B347" s="186" t="s">
        <v>178</v>
      </c>
      <c r="C347" s="185" t="s">
        <v>107</v>
      </c>
      <c r="D347" s="311">
        <v>457.84</v>
      </c>
      <c r="E347" s="311"/>
      <c r="F347" s="311"/>
      <c r="G347" s="311"/>
      <c r="H347" s="311"/>
      <c r="T347" s="58"/>
      <c r="U347" s="58"/>
      <c r="V347" s="58"/>
    </row>
    <row r="348" spans="1:22" ht="15.5" hidden="1" customHeight="1" x14ac:dyDescent="0.35">
      <c r="A348" s="185">
        <v>9</v>
      </c>
      <c r="B348" s="186" t="s">
        <v>180</v>
      </c>
      <c r="C348" s="185" t="s">
        <v>141</v>
      </c>
      <c r="D348" s="311">
        <v>896686.22</v>
      </c>
      <c r="E348" s="311"/>
      <c r="F348" s="311"/>
      <c r="G348" s="311"/>
      <c r="H348" s="311"/>
      <c r="T348" s="58"/>
      <c r="U348" s="58"/>
      <c r="V348" s="58"/>
    </row>
    <row r="349" spans="1:22" ht="15.5" hidden="1" customHeight="1" x14ac:dyDescent="0.35">
      <c r="A349" s="185">
        <v>10</v>
      </c>
      <c r="B349" s="186" t="s">
        <v>181</v>
      </c>
      <c r="C349" s="185" t="s">
        <v>141</v>
      </c>
      <c r="D349" s="311" t="s">
        <v>200</v>
      </c>
      <c r="E349" s="311"/>
      <c r="F349" s="311"/>
      <c r="G349" s="311"/>
      <c r="H349" s="311"/>
      <c r="T349" s="58"/>
      <c r="U349" s="58"/>
      <c r="V349" s="58"/>
    </row>
    <row r="350" spans="1:22" ht="15.5" hidden="1" customHeight="1" x14ac:dyDescent="0.35">
      <c r="A350" s="185">
        <v>11</v>
      </c>
      <c r="B350" s="186" t="s">
        <v>188</v>
      </c>
      <c r="C350" s="185" t="s">
        <v>141</v>
      </c>
      <c r="D350" s="311" t="s">
        <v>201</v>
      </c>
      <c r="E350" s="311"/>
      <c r="F350" s="311"/>
      <c r="G350" s="311"/>
      <c r="H350" s="311"/>
      <c r="T350" s="58"/>
      <c r="U350" s="58"/>
      <c r="V350" s="58"/>
    </row>
    <row r="351" spans="1:22" ht="15.5" hidden="1" customHeight="1" x14ac:dyDescent="0.35">
      <c r="A351" s="185">
        <v>12</v>
      </c>
      <c r="B351" s="186" t="s">
        <v>183</v>
      </c>
      <c r="C351" s="185" t="s">
        <v>141</v>
      </c>
      <c r="D351" s="311">
        <v>896686.22</v>
      </c>
      <c r="E351" s="311"/>
      <c r="F351" s="311"/>
      <c r="G351" s="311"/>
      <c r="H351" s="311"/>
      <c r="T351" s="58"/>
      <c r="U351" s="58"/>
      <c r="V351" s="58"/>
    </row>
    <row r="352" spans="1:22" ht="15.5" hidden="1" customHeight="1" x14ac:dyDescent="0.35">
      <c r="A352" s="185">
        <v>13</v>
      </c>
      <c r="B352" s="186" t="s">
        <v>184</v>
      </c>
      <c r="C352" s="185" t="s">
        <v>141</v>
      </c>
      <c r="D352" s="311">
        <v>896686.22</v>
      </c>
      <c r="E352" s="311"/>
      <c r="F352" s="311"/>
      <c r="G352" s="311"/>
      <c r="H352" s="311"/>
      <c r="T352" s="58"/>
      <c r="U352" s="58"/>
      <c r="V352" s="58"/>
    </row>
    <row r="353" spans="1:51" ht="15.5" hidden="1" customHeight="1" x14ac:dyDescent="0.35">
      <c r="A353" s="106"/>
      <c r="B353" s="91"/>
      <c r="C353" s="91"/>
      <c r="D353" s="311"/>
      <c r="E353" s="311"/>
      <c r="F353" s="311"/>
      <c r="G353" s="311"/>
      <c r="H353" s="311"/>
      <c r="T353" s="58"/>
      <c r="U353" s="58"/>
      <c r="V353" s="58"/>
    </row>
    <row r="354" spans="1:51" x14ac:dyDescent="0.35">
      <c r="A354" s="185" t="s">
        <v>0</v>
      </c>
      <c r="B354" s="330" t="s">
        <v>2</v>
      </c>
      <c r="C354" s="330" t="s">
        <v>3</v>
      </c>
      <c r="D354" s="311" t="s">
        <v>4</v>
      </c>
      <c r="E354" s="311"/>
      <c r="F354" s="311"/>
      <c r="G354" s="311"/>
      <c r="H354" s="311"/>
      <c r="T354" s="58"/>
      <c r="U354" s="58"/>
      <c r="V354" s="58"/>
      <c r="W354" s="58">
        <f>D330+T333</f>
        <v>1549070.06</v>
      </c>
    </row>
    <row r="355" spans="1:51" x14ac:dyDescent="0.35">
      <c r="A355" s="183" t="s">
        <v>1</v>
      </c>
      <c r="B355" s="330"/>
      <c r="C355" s="330"/>
      <c r="D355" s="311"/>
      <c r="E355" s="311"/>
      <c r="F355" s="311"/>
      <c r="G355" s="311"/>
      <c r="H355" s="311"/>
      <c r="T355" s="58"/>
      <c r="U355" s="58">
        <f>'[7]проверка 25 год'!$AU$15</f>
        <v>432876.7899999998</v>
      </c>
      <c r="V355" s="58"/>
    </row>
    <row r="356" spans="1:51" x14ac:dyDescent="0.35">
      <c r="A356" s="185">
        <v>1</v>
      </c>
      <c r="B356" s="186" t="s">
        <v>202</v>
      </c>
      <c r="C356" s="185" t="s">
        <v>7</v>
      </c>
      <c r="D356" s="311" t="s">
        <v>203</v>
      </c>
      <c r="E356" s="311"/>
      <c r="F356" s="311"/>
      <c r="G356" s="311"/>
      <c r="H356" s="311"/>
    </row>
    <row r="357" spans="1:51" x14ac:dyDescent="0.35">
      <c r="A357" s="185">
        <v>2</v>
      </c>
      <c r="B357" s="186" t="s">
        <v>106</v>
      </c>
      <c r="C357" s="185" t="s">
        <v>7</v>
      </c>
      <c r="D357" s="311" t="s">
        <v>107</v>
      </c>
      <c r="E357" s="311"/>
      <c r="F357" s="311"/>
      <c r="G357" s="311"/>
      <c r="H357" s="311"/>
      <c r="U357" s="57">
        <v>2024693.37</v>
      </c>
      <c r="V357" s="57" t="s">
        <v>383</v>
      </c>
      <c r="W357" s="57">
        <f>U357-15070.29</f>
        <v>2009623.08</v>
      </c>
    </row>
    <row r="358" spans="1:51" x14ac:dyDescent="0.35">
      <c r="A358" s="185">
        <v>3</v>
      </c>
      <c r="B358" s="186" t="s">
        <v>172</v>
      </c>
      <c r="C358" s="185" t="s">
        <v>141</v>
      </c>
      <c r="D358" s="311" t="s">
        <v>371</v>
      </c>
      <c r="E358" s="311"/>
      <c r="F358" s="311"/>
      <c r="G358" s="311"/>
      <c r="H358" s="311"/>
    </row>
    <row r="359" spans="1:51" x14ac:dyDescent="0.35">
      <c r="A359" s="185">
        <v>4</v>
      </c>
      <c r="B359" s="186" t="s">
        <v>173</v>
      </c>
      <c r="C359" s="185" t="s">
        <v>7</v>
      </c>
      <c r="D359" s="311" t="s">
        <v>317</v>
      </c>
      <c r="E359" s="311"/>
      <c r="F359" s="311"/>
      <c r="G359" s="311"/>
      <c r="H359" s="311"/>
      <c r="U359" s="58">
        <f>U357-T333-D330</f>
        <v>475623.31000000006</v>
      </c>
      <c r="W359" s="58">
        <f>W354-U355</f>
        <v>1116193.2700000003</v>
      </c>
    </row>
    <row r="360" spans="1:51" ht="25" x14ac:dyDescent="0.35">
      <c r="A360" s="185">
        <v>5</v>
      </c>
      <c r="B360" s="186" t="s">
        <v>175</v>
      </c>
      <c r="C360" s="185" t="s">
        <v>7</v>
      </c>
      <c r="D360" s="311" t="s">
        <v>328</v>
      </c>
      <c r="E360" s="311"/>
      <c r="F360" s="311"/>
      <c r="G360" s="311"/>
      <c r="H360" s="311"/>
      <c r="U360" s="58">
        <f>U359+U355</f>
        <v>908500.09999999986</v>
      </c>
    </row>
    <row r="361" spans="1:51" x14ac:dyDescent="0.35">
      <c r="A361" s="185">
        <v>6</v>
      </c>
      <c r="B361" s="186" t="s">
        <v>176</v>
      </c>
      <c r="C361" s="235" t="s">
        <v>7</v>
      </c>
      <c r="D361" s="311" t="s">
        <v>372</v>
      </c>
      <c r="E361" s="311"/>
      <c r="F361" s="311"/>
      <c r="G361" s="311"/>
      <c r="H361" s="311"/>
    </row>
    <row r="362" spans="1:51" x14ac:dyDescent="0.35">
      <c r="A362" s="185">
        <v>7</v>
      </c>
      <c r="B362" s="186" t="s">
        <v>180</v>
      </c>
      <c r="C362" s="185" t="s">
        <v>141</v>
      </c>
      <c r="D362" s="311">
        <f>[3]Лист_1!$P$402</f>
        <v>2721322.65</v>
      </c>
      <c r="E362" s="311"/>
      <c r="F362" s="311"/>
      <c r="G362" s="311"/>
      <c r="H362" s="311"/>
    </row>
    <row r="363" spans="1:51" x14ac:dyDescent="0.35">
      <c r="A363" s="185">
        <v>8</v>
      </c>
      <c r="B363" s="186" t="s">
        <v>181</v>
      </c>
      <c r="C363" s="185" t="s">
        <v>141</v>
      </c>
      <c r="D363" s="311">
        <f>[3]Лист_1!$AP$402</f>
        <v>2650109.62</v>
      </c>
      <c r="E363" s="311"/>
      <c r="F363" s="311"/>
      <c r="G363" s="311"/>
      <c r="H363" s="311"/>
    </row>
    <row r="364" spans="1:51" x14ac:dyDescent="0.35">
      <c r="A364" s="185">
        <v>9</v>
      </c>
      <c r="B364" s="186" t="s">
        <v>188</v>
      </c>
      <c r="C364" s="185" t="s">
        <v>141</v>
      </c>
      <c r="D364" s="311">
        <f>D362-D363</f>
        <v>71213.029999999795</v>
      </c>
      <c r="E364" s="311"/>
      <c r="F364" s="311"/>
      <c r="G364" s="311"/>
      <c r="H364" s="311"/>
      <c r="U364" s="57" t="s">
        <v>361</v>
      </c>
      <c r="V364" s="57" t="s">
        <v>384</v>
      </c>
      <c r="W364" s="57" t="s">
        <v>385</v>
      </c>
    </row>
    <row r="365" spans="1:51" x14ac:dyDescent="0.35">
      <c r="A365" s="185">
        <v>10</v>
      </c>
      <c r="B365" s="186" t="s">
        <v>183</v>
      </c>
      <c r="C365" s="185" t="s">
        <v>141</v>
      </c>
      <c r="D365" s="311">
        <f>D362</f>
        <v>2721322.65</v>
      </c>
      <c r="E365" s="311"/>
      <c r="F365" s="311"/>
      <c r="G365" s="311"/>
      <c r="H365" s="311"/>
      <c r="T365" s="57">
        <v>4284306.9000000004</v>
      </c>
      <c r="U365" s="58">
        <f>D250</f>
        <v>88241.279999999999</v>
      </c>
      <c r="V365" s="58">
        <f>D315</f>
        <v>1314560.2244246528</v>
      </c>
      <c r="W365" s="58">
        <f>D362</f>
        <v>2721322.65</v>
      </c>
      <c r="X365" s="58">
        <f>U365+V365+W365</f>
        <v>4124124.1544246525</v>
      </c>
      <c r="AY365" s="199"/>
    </row>
    <row r="366" spans="1:51" x14ac:dyDescent="0.35">
      <c r="A366" s="185">
        <v>11</v>
      </c>
      <c r="B366" s="186" t="s">
        <v>184</v>
      </c>
      <c r="C366" s="185" t="s">
        <v>141</v>
      </c>
      <c r="D366" s="311">
        <f>D365</f>
        <v>2721322.65</v>
      </c>
      <c r="E366" s="311"/>
      <c r="F366" s="311"/>
      <c r="G366" s="311"/>
      <c r="H366" s="311"/>
    </row>
    <row r="367" spans="1:51" ht="15.5" hidden="1" customHeight="1" x14ac:dyDescent="0.35">
      <c r="A367" s="106"/>
      <c r="B367" s="91"/>
      <c r="C367" s="91"/>
      <c r="D367" s="311"/>
      <c r="E367" s="311"/>
      <c r="F367" s="311"/>
      <c r="G367" s="311"/>
      <c r="H367" s="311"/>
    </row>
    <row r="368" spans="1:51" x14ac:dyDescent="0.35">
      <c r="A368" s="185" t="s">
        <v>0</v>
      </c>
      <c r="B368" s="330" t="s">
        <v>2</v>
      </c>
      <c r="C368" s="330" t="s">
        <v>3</v>
      </c>
      <c r="D368" s="311" t="s">
        <v>4</v>
      </c>
      <c r="E368" s="311"/>
      <c r="F368" s="311"/>
      <c r="G368" s="311"/>
      <c r="H368" s="311"/>
    </row>
    <row r="369" spans="1:11" x14ac:dyDescent="0.35">
      <c r="A369" s="183" t="s">
        <v>1</v>
      </c>
      <c r="B369" s="330"/>
      <c r="C369" s="330"/>
      <c r="D369" s="311"/>
      <c r="E369" s="311"/>
      <c r="F369" s="311"/>
      <c r="G369" s="311"/>
      <c r="H369" s="311"/>
    </row>
    <row r="370" spans="1:11" x14ac:dyDescent="0.35">
      <c r="A370" s="185">
        <v>1</v>
      </c>
      <c r="B370" s="186" t="s">
        <v>481</v>
      </c>
      <c r="C370" s="185" t="s">
        <v>7</v>
      </c>
      <c r="D370" s="311" t="s">
        <v>205</v>
      </c>
      <c r="E370" s="311"/>
      <c r="F370" s="311"/>
      <c r="G370" s="311"/>
      <c r="H370" s="311"/>
    </row>
    <row r="371" spans="1:11" x14ac:dyDescent="0.35">
      <c r="A371" s="185">
        <v>2</v>
      </c>
      <c r="B371" s="186" t="s">
        <v>106</v>
      </c>
      <c r="C371" s="185" t="s">
        <v>7</v>
      </c>
      <c r="D371" s="311" t="s">
        <v>158</v>
      </c>
      <c r="E371" s="311"/>
      <c r="F371" s="311"/>
      <c r="G371" s="311"/>
      <c r="H371" s="311"/>
    </row>
    <row r="372" spans="1:11" ht="37.5" x14ac:dyDescent="0.35">
      <c r="A372" s="185">
        <v>3</v>
      </c>
      <c r="B372" s="186" t="s">
        <v>172</v>
      </c>
      <c r="C372" s="185" t="s">
        <v>269</v>
      </c>
      <c r="D372" s="311" t="s">
        <v>376</v>
      </c>
      <c r="E372" s="311"/>
      <c r="F372" s="311"/>
      <c r="G372" s="311"/>
      <c r="H372" s="311"/>
      <c r="K372" s="57" t="s">
        <v>318</v>
      </c>
    </row>
    <row r="373" spans="1:11" x14ac:dyDescent="0.35">
      <c r="A373" s="185">
        <v>4</v>
      </c>
      <c r="B373" s="186" t="s">
        <v>173</v>
      </c>
      <c r="C373" s="185" t="s">
        <v>7</v>
      </c>
      <c r="D373" s="318" t="s">
        <v>270</v>
      </c>
      <c r="E373" s="318"/>
      <c r="F373" s="318"/>
      <c r="G373" s="318"/>
      <c r="H373" s="318"/>
      <c r="K373" s="57" t="s">
        <v>319</v>
      </c>
    </row>
    <row r="374" spans="1:11" ht="25" x14ac:dyDescent="0.35">
      <c r="A374" s="185">
        <v>5</v>
      </c>
      <c r="B374" s="186" t="s">
        <v>175</v>
      </c>
      <c r="C374" s="185" t="s">
        <v>7</v>
      </c>
      <c r="D374" s="311" t="s">
        <v>327</v>
      </c>
      <c r="E374" s="311"/>
      <c r="F374" s="311"/>
      <c r="G374" s="311"/>
      <c r="H374" s="311"/>
    </row>
    <row r="375" spans="1:11" x14ac:dyDescent="0.35">
      <c r="A375" s="185">
        <v>6</v>
      </c>
      <c r="B375" s="186" t="s">
        <v>176</v>
      </c>
      <c r="C375" s="235" t="s">
        <v>7</v>
      </c>
      <c r="D375" s="311" t="s">
        <v>359</v>
      </c>
      <c r="E375" s="311"/>
      <c r="F375" s="311"/>
      <c r="G375" s="311"/>
      <c r="H375" s="311"/>
      <c r="K375" s="57" t="str">
        <f>K372</f>
        <v>проверить тарифы</v>
      </c>
    </row>
    <row r="376" spans="1:11" x14ac:dyDescent="0.35">
      <c r="A376" s="185">
        <v>7</v>
      </c>
      <c r="B376" s="186" t="s">
        <v>180</v>
      </c>
      <c r="C376" s="185" t="s">
        <v>141</v>
      </c>
      <c r="D376" s="311">
        <f>[3]Лист_1!$J$402+[3]Лист_1!$K$402</f>
        <v>676625.71</v>
      </c>
      <c r="E376" s="311"/>
      <c r="F376" s="311"/>
      <c r="G376" s="311"/>
      <c r="H376" s="311"/>
    </row>
    <row r="377" spans="1:11" x14ac:dyDescent="0.35">
      <c r="A377" s="185">
        <v>8</v>
      </c>
      <c r="B377" s="186" t="s">
        <v>181</v>
      </c>
      <c r="C377" s="185" t="s">
        <v>141</v>
      </c>
      <c r="D377" s="311">
        <f>[3]Лист_1!$AI$402+[3]Лист_1!$AJ$402</f>
        <v>638558.82999999996</v>
      </c>
      <c r="E377" s="311"/>
      <c r="F377" s="311"/>
      <c r="G377" s="311"/>
      <c r="H377" s="311"/>
    </row>
    <row r="378" spans="1:11" x14ac:dyDescent="0.35">
      <c r="A378" s="185">
        <v>9</v>
      </c>
      <c r="B378" s="186" t="s">
        <v>188</v>
      </c>
      <c r="C378" s="185" t="s">
        <v>141</v>
      </c>
      <c r="D378" s="311">
        <f>D376-D377</f>
        <v>38066.880000000005</v>
      </c>
      <c r="E378" s="311"/>
      <c r="F378" s="311"/>
      <c r="G378" s="311"/>
      <c r="H378" s="311"/>
    </row>
    <row r="379" spans="1:11" x14ac:dyDescent="0.35">
      <c r="A379" s="185">
        <v>10</v>
      </c>
      <c r="B379" s="186" t="s">
        <v>183</v>
      </c>
      <c r="C379" s="185" t="s">
        <v>141</v>
      </c>
      <c r="D379" s="311">
        <f>D376</f>
        <v>676625.71</v>
      </c>
      <c r="E379" s="311"/>
      <c r="F379" s="311"/>
      <c r="G379" s="311"/>
      <c r="H379" s="311"/>
    </row>
    <row r="380" spans="1:11" x14ac:dyDescent="0.35">
      <c r="A380" s="185">
        <v>11</v>
      </c>
      <c r="B380" s="186" t="s">
        <v>184</v>
      </c>
      <c r="C380" s="185" t="s">
        <v>141</v>
      </c>
      <c r="D380" s="311">
        <f>D379</f>
        <v>676625.71</v>
      </c>
      <c r="E380" s="311"/>
      <c r="F380" s="311"/>
      <c r="G380" s="311"/>
      <c r="H380" s="311"/>
    </row>
    <row r="382" spans="1:11" x14ac:dyDescent="0.35">
      <c r="A382" s="368" t="s">
        <v>206</v>
      </c>
      <c r="B382" s="368"/>
      <c r="C382" s="368"/>
      <c r="D382" s="368"/>
    </row>
    <row r="383" spans="1:11" ht="16" thickBot="1" x14ac:dyDescent="0.4"/>
    <row r="384" spans="1:11" x14ac:dyDescent="0.35">
      <c r="A384" s="132" t="s">
        <v>0</v>
      </c>
      <c r="B384" s="360" t="s">
        <v>2</v>
      </c>
      <c r="C384" s="360" t="s">
        <v>3</v>
      </c>
      <c r="D384" s="360" t="s">
        <v>4</v>
      </c>
    </row>
    <row r="385" spans="1:4" ht="16" thickBot="1" x14ac:dyDescent="0.4">
      <c r="A385" s="133" t="s">
        <v>1</v>
      </c>
      <c r="B385" s="361"/>
      <c r="C385" s="361"/>
      <c r="D385" s="361"/>
    </row>
    <row r="386" spans="1:4" ht="16" thickBot="1" x14ac:dyDescent="0.4">
      <c r="A386" s="86">
        <v>1</v>
      </c>
      <c r="B386" s="87" t="s">
        <v>207</v>
      </c>
      <c r="C386" s="86" t="s">
        <v>7</v>
      </c>
      <c r="D386" s="236" t="str">
        <f>D404</f>
        <v>Холл первого этажа</v>
      </c>
    </row>
    <row r="387" spans="1:4" ht="27.5" customHeight="1" thickBot="1" x14ac:dyDescent="0.4">
      <c r="A387" s="86" t="s">
        <v>276</v>
      </c>
      <c r="B387" s="87" t="s">
        <v>210</v>
      </c>
      <c r="C387" s="86" t="s">
        <v>7</v>
      </c>
      <c r="D387" s="237" t="s">
        <v>224</v>
      </c>
    </row>
    <row r="388" spans="1:4" ht="16" thickBot="1" x14ac:dyDescent="0.4">
      <c r="A388" s="86" t="s">
        <v>277</v>
      </c>
      <c r="B388" s="87" t="s">
        <v>213</v>
      </c>
      <c r="C388" s="86" t="s">
        <v>7</v>
      </c>
      <c r="D388" s="238" t="s">
        <v>280</v>
      </c>
    </row>
    <row r="389" spans="1:4" ht="16" thickBot="1" x14ac:dyDescent="0.4">
      <c r="A389" s="88" t="s">
        <v>278</v>
      </c>
      <c r="B389" s="87" t="s">
        <v>216</v>
      </c>
      <c r="C389" s="86" t="s">
        <v>7</v>
      </c>
      <c r="D389" s="239">
        <v>2022</v>
      </c>
    </row>
    <row r="390" spans="1:4" ht="16" thickBot="1" x14ac:dyDescent="0.4">
      <c r="A390" s="89" t="s">
        <v>279</v>
      </c>
      <c r="B390" s="90" t="s">
        <v>441</v>
      </c>
      <c r="C390" s="89" t="s">
        <v>141</v>
      </c>
      <c r="D390" s="240">
        <v>7200</v>
      </c>
    </row>
    <row r="391" spans="1:4" ht="6.5" customHeight="1" thickBot="1" x14ac:dyDescent="0.4">
      <c r="A391" s="134"/>
      <c r="B391" s="135"/>
      <c r="C391" s="134"/>
      <c r="D391" s="237"/>
    </row>
    <row r="392" spans="1:4" ht="16" thickBot="1" x14ac:dyDescent="0.4">
      <c r="A392" s="86" t="s">
        <v>9</v>
      </c>
      <c r="B392" s="87" t="s">
        <v>207</v>
      </c>
      <c r="C392" s="86" t="s">
        <v>7</v>
      </c>
      <c r="D392" s="236" t="s">
        <v>208</v>
      </c>
    </row>
    <row r="393" spans="1:4" ht="16" thickBot="1" x14ac:dyDescent="0.4">
      <c r="A393" s="86" t="s">
        <v>209</v>
      </c>
      <c r="B393" s="87" t="s">
        <v>210</v>
      </c>
      <c r="C393" s="86" t="s">
        <v>7</v>
      </c>
      <c r="D393" s="236" t="s">
        <v>211</v>
      </c>
    </row>
    <row r="394" spans="1:4" ht="26.5" customHeight="1" thickBot="1" x14ac:dyDescent="0.4">
      <c r="A394" s="86" t="s">
        <v>212</v>
      </c>
      <c r="B394" s="87" t="s">
        <v>213</v>
      </c>
      <c r="C394" s="86" t="s">
        <v>7</v>
      </c>
      <c r="D394" s="238" t="s">
        <v>214</v>
      </c>
    </row>
    <row r="395" spans="1:4" ht="16" thickBot="1" x14ac:dyDescent="0.4">
      <c r="A395" s="88" t="s">
        <v>215</v>
      </c>
      <c r="B395" s="87" t="s">
        <v>216</v>
      </c>
      <c r="C395" s="86" t="s">
        <v>7</v>
      </c>
      <c r="D395" s="239">
        <f>D389</f>
        <v>2022</v>
      </c>
    </row>
    <row r="396" spans="1:4" ht="16" thickBot="1" x14ac:dyDescent="0.4">
      <c r="A396" s="89" t="s">
        <v>217</v>
      </c>
      <c r="B396" s="90" t="s">
        <v>441</v>
      </c>
      <c r="C396" s="89" t="s">
        <v>141</v>
      </c>
      <c r="D396" s="240">
        <v>0</v>
      </c>
    </row>
    <row r="397" spans="1:4" ht="6.5" customHeight="1" thickBot="1" x14ac:dyDescent="0.4">
      <c r="A397" s="134"/>
      <c r="B397" s="135"/>
      <c r="C397" s="134"/>
      <c r="D397" s="237"/>
    </row>
    <row r="398" spans="1:4" ht="16" thickBot="1" x14ac:dyDescent="0.4">
      <c r="A398" s="136">
        <v>3</v>
      </c>
      <c r="B398" s="137" t="s">
        <v>207</v>
      </c>
      <c r="C398" s="136"/>
      <c r="D398" s="241" t="s">
        <v>208</v>
      </c>
    </row>
    <row r="399" spans="1:4" ht="16" thickBot="1" x14ac:dyDescent="0.4">
      <c r="A399" s="86" t="s">
        <v>218</v>
      </c>
      <c r="B399" s="87" t="s">
        <v>210</v>
      </c>
      <c r="C399" s="86" t="s">
        <v>7</v>
      </c>
      <c r="D399" s="236" t="s">
        <v>211</v>
      </c>
    </row>
    <row r="400" spans="1:4" ht="26.5" customHeight="1" thickBot="1" x14ac:dyDescent="0.4">
      <c r="A400" s="86" t="s">
        <v>219</v>
      </c>
      <c r="B400" s="87" t="s">
        <v>213</v>
      </c>
      <c r="C400" s="86" t="s">
        <v>7</v>
      </c>
      <c r="D400" s="238" t="s">
        <v>220</v>
      </c>
    </row>
    <row r="401" spans="1:4" ht="16" thickBot="1" x14ac:dyDescent="0.4">
      <c r="A401" s="86" t="s">
        <v>221</v>
      </c>
      <c r="B401" s="87" t="s">
        <v>216</v>
      </c>
      <c r="C401" s="86" t="s">
        <v>7</v>
      </c>
      <c r="D401" s="239">
        <v>2018</v>
      </c>
    </row>
    <row r="402" spans="1:4" ht="16" thickBot="1" x14ac:dyDescent="0.4">
      <c r="A402" s="89" t="s">
        <v>222</v>
      </c>
      <c r="B402" s="90" t="s">
        <v>441</v>
      </c>
      <c r="C402" s="89" t="s">
        <v>141</v>
      </c>
      <c r="D402" s="240">
        <v>20400</v>
      </c>
    </row>
    <row r="403" spans="1:4" ht="6.5" customHeight="1" thickBot="1" x14ac:dyDescent="0.4">
      <c r="A403" s="134"/>
      <c r="B403" s="135"/>
      <c r="C403" s="134"/>
      <c r="D403" s="237"/>
    </row>
    <row r="404" spans="1:4" ht="16" thickBot="1" x14ac:dyDescent="0.4">
      <c r="A404" s="134">
        <v>4</v>
      </c>
      <c r="B404" s="135" t="s">
        <v>207</v>
      </c>
      <c r="C404" s="134"/>
      <c r="D404" s="237" t="s">
        <v>223</v>
      </c>
    </row>
    <row r="405" spans="1:4" ht="27.5" customHeight="1" thickBot="1" x14ac:dyDescent="0.4">
      <c r="A405" s="134" t="s">
        <v>159</v>
      </c>
      <c r="B405" s="135" t="s">
        <v>210</v>
      </c>
      <c r="C405" s="134" t="s">
        <v>7</v>
      </c>
      <c r="D405" s="237" t="s">
        <v>224</v>
      </c>
    </row>
    <row r="406" spans="1:4" ht="15.5" customHeight="1" x14ac:dyDescent="0.35">
      <c r="A406" s="362" t="s">
        <v>160</v>
      </c>
      <c r="B406" s="364" t="s">
        <v>213</v>
      </c>
      <c r="C406" s="362" t="s">
        <v>7</v>
      </c>
      <c r="D406" s="366" t="s">
        <v>275</v>
      </c>
    </row>
    <row r="407" spans="1:4" ht="16" thickBot="1" x14ac:dyDescent="0.4">
      <c r="A407" s="363"/>
      <c r="B407" s="365"/>
      <c r="C407" s="363"/>
      <c r="D407" s="367"/>
    </row>
    <row r="408" spans="1:4" ht="16" thickBot="1" x14ac:dyDescent="0.4">
      <c r="A408" s="134" t="s">
        <v>162</v>
      </c>
      <c r="B408" s="135" t="s">
        <v>216</v>
      </c>
      <c r="C408" s="134" t="s">
        <v>7</v>
      </c>
      <c r="D408" s="242">
        <v>2015</v>
      </c>
    </row>
    <row r="409" spans="1:4" ht="19" customHeight="1" thickBot="1" x14ac:dyDescent="0.4">
      <c r="A409" s="134" t="s">
        <v>164</v>
      </c>
      <c r="B409" s="90" t="s">
        <v>441</v>
      </c>
      <c r="C409" s="134" t="s">
        <v>141</v>
      </c>
      <c r="D409" s="237">
        <v>42000</v>
      </c>
    </row>
    <row r="410" spans="1:4" ht="6.5" customHeight="1" thickBot="1" x14ac:dyDescent="0.4">
      <c r="A410" s="134"/>
      <c r="B410" s="135"/>
      <c r="C410" s="134"/>
      <c r="D410" s="237"/>
    </row>
    <row r="411" spans="1:4" ht="16" thickBot="1" x14ac:dyDescent="0.4">
      <c r="A411" s="134">
        <v>5</v>
      </c>
      <c r="B411" s="135" t="s">
        <v>207</v>
      </c>
      <c r="C411" s="134"/>
      <c r="D411" s="237" t="s">
        <v>208</v>
      </c>
    </row>
    <row r="412" spans="1:4" ht="16" thickBot="1" x14ac:dyDescent="0.4">
      <c r="A412" s="134" t="s">
        <v>166</v>
      </c>
      <c r="B412" s="135" t="s">
        <v>210</v>
      </c>
      <c r="C412" s="134" t="s">
        <v>7</v>
      </c>
      <c r="D412" s="237" t="s">
        <v>211</v>
      </c>
    </row>
    <row r="413" spans="1:4" ht="16" thickBot="1" x14ac:dyDescent="0.4">
      <c r="A413" s="134" t="s">
        <v>167</v>
      </c>
      <c r="B413" s="135" t="s">
        <v>213</v>
      </c>
      <c r="C413" s="134" t="s">
        <v>7</v>
      </c>
      <c r="D413" s="243" t="s">
        <v>380</v>
      </c>
    </row>
    <row r="414" spans="1:4" ht="16" thickBot="1" x14ac:dyDescent="0.4">
      <c r="A414" s="134" t="s">
        <v>168</v>
      </c>
      <c r="B414" s="135" t="s">
        <v>216</v>
      </c>
      <c r="C414" s="134" t="s">
        <v>7</v>
      </c>
      <c r="D414" s="242">
        <v>2011</v>
      </c>
    </row>
    <row r="415" spans="1:4" ht="16" thickBot="1" x14ac:dyDescent="0.4">
      <c r="A415" s="134" t="s">
        <v>169</v>
      </c>
      <c r="B415" s="90" t="s">
        <v>441</v>
      </c>
      <c r="C415" s="134" t="s">
        <v>141</v>
      </c>
      <c r="D415" s="237">
        <v>20800</v>
      </c>
    </row>
    <row r="417" spans="1:10" ht="37" customHeight="1" x14ac:dyDescent="0.35">
      <c r="A417" s="370" t="s">
        <v>226</v>
      </c>
      <c r="B417" s="370"/>
      <c r="C417" s="370"/>
      <c r="D417" s="370"/>
    </row>
    <row r="419" spans="1:10" x14ac:dyDescent="0.35">
      <c r="A419" s="102" t="s">
        <v>0</v>
      </c>
      <c r="B419" s="330" t="s">
        <v>2</v>
      </c>
      <c r="C419" s="330" t="s">
        <v>3</v>
      </c>
      <c r="D419" s="330" t="s">
        <v>4</v>
      </c>
    </row>
    <row r="420" spans="1:10" x14ac:dyDescent="0.35">
      <c r="A420" s="183" t="s">
        <v>1</v>
      </c>
      <c r="B420" s="330"/>
      <c r="C420" s="330"/>
      <c r="D420" s="330"/>
    </row>
    <row r="421" spans="1:10" x14ac:dyDescent="0.35">
      <c r="A421" s="369" t="s">
        <v>299</v>
      </c>
      <c r="B421" s="369"/>
      <c r="C421" s="369"/>
      <c r="D421" s="369"/>
    </row>
    <row r="422" spans="1:10" ht="26" x14ac:dyDescent="0.35">
      <c r="A422" s="185">
        <v>1</v>
      </c>
      <c r="B422" s="186" t="s">
        <v>227</v>
      </c>
      <c r="C422" s="185" t="s">
        <v>7</v>
      </c>
      <c r="D422" s="228" t="s">
        <v>320</v>
      </c>
    </row>
    <row r="423" spans="1:10" ht="25" hidden="1" x14ac:dyDescent="0.35">
      <c r="A423" s="185">
        <v>2</v>
      </c>
      <c r="B423" s="186" t="s">
        <v>333</v>
      </c>
      <c r="C423" s="185" t="s">
        <v>141</v>
      </c>
      <c r="D423" s="244">
        <v>10.71</v>
      </c>
    </row>
    <row r="424" spans="1:10" hidden="1" x14ac:dyDescent="0.35">
      <c r="A424" s="185">
        <v>3</v>
      </c>
      <c r="B424" s="186" t="s">
        <v>334</v>
      </c>
      <c r="C424" s="185"/>
      <c r="D424" s="244">
        <f>'[8]К. Беляева 40Б'!$D$19</f>
        <v>0</v>
      </c>
    </row>
    <row r="425" spans="1:10" hidden="1" x14ac:dyDescent="0.35">
      <c r="A425" s="185">
        <v>4</v>
      </c>
      <c r="B425" s="186" t="str">
        <f>'[8]К. Беляева 40Б'!$A$20</f>
        <v>Задолженность потребителей (на начало периода)</v>
      </c>
      <c r="C425" s="185"/>
      <c r="D425" s="244">
        <f>[9]Лист_1!$E$204</f>
        <v>3046139.07</v>
      </c>
      <c r="J425" s="57" t="s">
        <v>321</v>
      </c>
    </row>
    <row r="426" spans="1:10" hidden="1" x14ac:dyDescent="0.35">
      <c r="A426" s="185">
        <v>5</v>
      </c>
      <c r="B426" s="186" t="str">
        <f>'[8]К. Беляева 40Б'!$A$21</f>
        <v>Задолженность потребителей (на конец периода)</v>
      </c>
      <c r="C426" s="185"/>
      <c r="D426" s="244">
        <f>[9]Лист_1!$AC$204</f>
        <v>1708057.91</v>
      </c>
      <c r="J426" s="57" t="s">
        <v>321</v>
      </c>
    </row>
    <row r="427" spans="1:10" hidden="1" x14ac:dyDescent="0.35">
      <c r="A427" s="185">
        <v>6</v>
      </c>
      <c r="B427" s="186" t="str">
        <f>'[8]К. Беляева 40Б'!$A$22</f>
        <v>Начислено</v>
      </c>
      <c r="C427" s="185"/>
      <c r="D427" s="244">
        <f>[9]Лист_1!$G$204</f>
        <v>859315.74</v>
      </c>
      <c r="J427" s="57" t="s">
        <v>321</v>
      </c>
    </row>
    <row r="428" spans="1:10" hidden="1" x14ac:dyDescent="0.35">
      <c r="A428" s="185">
        <v>7</v>
      </c>
      <c r="B428" s="186" t="str">
        <f>'[8]К. Беляева 40Б'!$A$23</f>
        <v>Оплачено</v>
      </c>
      <c r="C428" s="185"/>
      <c r="D428" s="244">
        <f>[9]Лист_1!$R$204</f>
        <v>2135618.23</v>
      </c>
      <c r="J428" s="57" t="s">
        <v>321</v>
      </c>
    </row>
    <row r="429" spans="1:10" hidden="1" x14ac:dyDescent="0.35">
      <c r="A429" s="185">
        <v>8</v>
      </c>
      <c r="B429" s="186" t="s">
        <v>335</v>
      </c>
      <c r="C429" s="185"/>
      <c r="D429" s="244">
        <f>'[8]К. Беляева 40Б'!$D$24</f>
        <v>0</v>
      </c>
    </row>
    <row r="430" spans="1:10" x14ac:dyDescent="0.35">
      <c r="A430" s="185">
        <v>2</v>
      </c>
      <c r="B430" s="186" t="s">
        <v>431</v>
      </c>
      <c r="C430" s="185" t="s">
        <v>141</v>
      </c>
      <c r="D430" s="245">
        <f>[10]КБ40Б!$D$373</f>
        <v>10652976.189999999</v>
      </c>
    </row>
    <row r="431" spans="1:10" x14ac:dyDescent="0.35">
      <c r="A431" s="185">
        <v>3</v>
      </c>
      <c r="B431" s="186" t="s">
        <v>339</v>
      </c>
      <c r="C431" s="185" t="s">
        <v>141</v>
      </c>
      <c r="D431" s="245">
        <v>12445369.25</v>
      </c>
      <c r="J431" s="57" t="s">
        <v>321</v>
      </c>
    </row>
    <row r="432" spans="1:10" ht="17" customHeight="1" x14ac:dyDescent="0.35">
      <c r="A432" s="106">
        <v>4</v>
      </c>
      <c r="B432" s="186" t="s">
        <v>446</v>
      </c>
      <c r="C432" s="185" t="s">
        <v>141</v>
      </c>
      <c r="D432" s="85">
        <f>D431-D430</f>
        <v>1792393.0600000005</v>
      </c>
    </row>
    <row r="433" spans="1:4" hidden="1" x14ac:dyDescent="0.35">
      <c r="A433" s="368" t="s">
        <v>228</v>
      </c>
      <c r="B433" s="368"/>
      <c r="C433" s="368"/>
      <c r="D433" s="368"/>
    </row>
    <row r="434" spans="1:4" hidden="1" x14ac:dyDescent="0.35">
      <c r="A434" s="138"/>
    </row>
    <row r="435" spans="1:4" hidden="1" x14ac:dyDescent="0.35">
      <c r="A435" s="132" t="s">
        <v>0</v>
      </c>
      <c r="B435" s="360" t="s">
        <v>2</v>
      </c>
      <c r="C435" s="360" t="s">
        <v>3</v>
      </c>
      <c r="D435" s="360" t="s">
        <v>4</v>
      </c>
    </row>
    <row r="436" spans="1:4" ht="16" hidden="1" thickBot="1" x14ac:dyDescent="0.4">
      <c r="A436" s="133" t="s">
        <v>1</v>
      </c>
      <c r="B436" s="361"/>
      <c r="C436" s="361"/>
      <c r="D436" s="361"/>
    </row>
    <row r="437" spans="1:4" hidden="1" x14ac:dyDescent="0.35">
      <c r="A437" s="86" t="s">
        <v>5</v>
      </c>
      <c r="B437" s="139" t="s">
        <v>6</v>
      </c>
      <c r="C437" s="86" t="s">
        <v>7</v>
      </c>
      <c r="D437" s="246">
        <v>43851</v>
      </c>
    </row>
    <row r="438" spans="1:4" ht="46.5" hidden="1" x14ac:dyDescent="0.35">
      <c r="A438" s="86" t="s">
        <v>5</v>
      </c>
      <c r="B438" s="87" t="s">
        <v>229</v>
      </c>
      <c r="C438" s="86" t="s">
        <v>7</v>
      </c>
      <c r="D438" s="140" t="s">
        <v>230</v>
      </c>
    </row>
    <row r="439" spans="1:4" ht="47" hidden="1" thickBot="1" x14ac:dyDescent="0.4">
      <c r="A439" s="89" t="s">
        <v>9</v>
      </c>
      <c r="B439" s="90" t="s">
        <v>229</v>
      </c>
      <c r="C439" s="89" t="s">
        <v>7</v>
      </c>
      <c r="D439" s="141" t="s">
        <v>231</v>
      </c>
    </row>
    <row r="440" spans="1:4" ht="47" hidden="1" thickBot="1" x14ac:dyDescent="0.4">
      <c r="A440" s="134" t="s">
        <v>12</v>
      </c>
      <c r="B440" s="135" t="s">
        <v>229</v>
      </c>
      <c r="C440" s="134" t="s">
        <v>7</v>
      </c>
      <c r="D440" s="142" t="s">
        <v>232</v>
      </c>
    </row>
    <row r="441" spans="1:4" ht="47" hidden="1" thickBot="1" x14ac:dyDescent="0.4">
      <c r="A441" s="134" t="s">
        <v>15</v>
      </c>
      <c r="B441" s="135" t="s">
        <v>229</v>
      </c>
      <c r="C441" s="134" t="s">
        <v>7</v>
      </c>
      <c r="D441" s="142" t="s">
        <v>233</v>
      </c>
    </row>
    <row r="442" spans="1:4" ht="47" hidden="1" thickBot="1" x14ac:dyDescent="0.4">
      <c r="A442" s="134" t="s">
        <v>18</v>
      </c>
      <c r="B442" s="143" t="s">
        <v>229</v>
      </c>
      <c r="C442" s="134" t="s">
        <v>7</v>
      </c>
      <c r="D442" s="142" t="s">
        <v>234</v>
      </c>
    </row>
    <row r="443" spans="1:4" ht="47" hidden="1" thickBot="1" x14ac:dyDescent="0.4">
      <c r="A443" s="134" t="s">
        <v>21</v>
      </c>
      <c r="B443" s="143" t="s">
        <v>229</v>
      </c>
      <c r="C443" s="134" t="s">
        <v>7</v>
      </c>
      <c r="D443" s="142" t="s">
        <v>235</v>
      </c>
    </row>
    <row r="444" spans="1:4" ht="47" hidden="1" thickBot="1" x14ac:dyDescent="0.4">
      <c r="A444" s="134" t="s">
        <v>23</v>
      </c>
      <c r="B444" s="143" t="s">
        <v>229</v>
      </c>
      <c r="C444" s="134" t="s">
        <v>7</v>
      </c>
      <c r="D444" s="142" t="s">
        <v>236</v>
      </c>
    </row>
    <row r="445" spans="1:4" ht="47" hidden="1" thickBot="1" x14ac:dyDescent="0.4">
      <c r="A445" s="134" t="s">
        <v>26</v>
      </c>
      <c r="B445" s="143" t="s">
        <v>229</v>
      </c>
      <c r="C445" s="134" t="s">
        <v>7</v>
      </c>
      <c r="D445" s="142" t="s">
        <v>237</v>
      </c>
    </row>
    <row r="446" spans="1:4" ht="16" hidden="1" thickBot="1" x14ac:dyDescent="0.4">
      <c r="A446" s="134"/>
      <c r="B446" s="135"/>
      <c r="C446" s="134"/>
      <c r="D446" s="142"/>
    </row>
    <row r="448" spans="1:4" x14ac:dyDescent="0.35">
      <c r="A448" s="371" t="s">
        <v>238</v>
      </c>
      <c r="B448" s="371"/>
      <c r="C448" s="371"/>
      <c r="D448" s="371"/>
    </row>
    <row r="450" spans="1:10" x14ac:dyDescent="0.35">
      <c r="A450" s="181" t="s">
        <v>0</v>
      </c>
      <c r="B450" s="316" t="s">
        <v>2</v>
      </c>
      <c r="C450" s="316" t="s">
        <v>3</v>
      </c>
      <c r="D450" s="316" t="s">
        <v>4</v>
      </c>
    </row>
    <row r="451" spans="1:10" x14ac:dyDescent="0.35">
      <c r="A451" s="181" t="s">
        <v>1</v>
      </c>
      <c r="B451" s="316"/>
      <c r="C451" s="316"/>
      <c r="D451" s="316"/>
    </row>
    <row r="452" spans="1:10" x14ac:dyDescent="0.35">
      <c r="A452" s="188" t="s">
        <v>5</v>
      </c>
      <c r="B452" s="180" t="s">
        <v>6</v>
      </c>
      <c r="C452" s="188" t="s">
        <v>7</v>
      </c>
      <c r="D452" s="103">
        <v>46073</v>
      </c>
    </row>
    <row r="453" spans="1:10" x14ac:dyDescent="0.35">
      <c r="A453" s="188" t="s">
        <v>9</v>
      </c>
      <c r="B453" s="180" t="s">
        <v>239</v>
      </c>
      <c r="C453" s="188" t="s">
        <v>7</v>
      </c>
      <c r="D453" s="103">
        <v>45658</v>
      </c>
    </row>
    <row r="454" spans="1:10" x14ac:dyDescent="0.35">
      <c r="A454" s="188" t="s">
        <v>12</v>
      </c>
      <c r="B454" s="180" t="s">
        <v>240</v>
      </c>
      <c r="C454" s="188" t="s">
        <v>7</v>
      </c>
      <c r="D454" s="103">
        <v>46022</v>
      </c>
    </row>
    <row r="455" spans="1:10" ht="30" customHeight="1" x14ac:dyDescent="0.35">
      <c r="A455" s="326" t="s">
        <v>241</v>
      </c>
      <c r="B455" s="326"/>
      <c r="C455" s="326"/>
      <c r="D455" s="326"/>
    </row>
    <row r="456" spans="1:10" ht="31" x14ac:dyDescent="0.35">
      <c r="A456" s="188" t="s">
        <v>15</v>
      </c>
      <c r="B456" s="180" t="s">
        <v>451</v>
      </c>
      <c r="C456" s="188" t="s">
        <v>141</v>
      </c>
      <c r="D456" s="68">
        <f>'[4]К. Беляева 40Б'!$D$28</f>
        <v>-603221.95625048911</v>
      </c>
      <c r="J456" s="57" t="s">
        <v>321</v>
      </c>
    </row>
    <row r="457" spans="1:10" x14ac:dyDescent="0.35">
      <c r="A457" s="188" t="s">
        <v>18</v>
      </c>
      <c r="B457" s="180" t="s">
        <v>243</v>
      </c>
      <c r="C457" s="188" t="s">
        <v>141</v>
      </c>
      <c r="D457" s="247">
        <v>0</v>
      </c>
    </row>
    <row r="458" spans="1:10" x14ac:dyDescent="0.35">
      <c r="A458" s="188" t="s">
        <v>21</v>
      </c>
      <c r="B458" s="182" t="s">
        <v>244</v>
      </c>
      <c r="C458" s="181" t="s">
        <v>141</v>
      </c>
      <c r="D458" s="68">
        <f>'[11]К. Беляева 40Б'!$D$19</f>
        <v>1952695.87</v>
      </c>
    </row>
    <row r="459" spans="1:10" x14ac:dyDescent="0.35">
      <c r="A459" s="317" t="s">
        <v>23</v>
      </c>
      <c r="B459" s="326" t="s">
        <v>245</v>
      </c>
      <c r="C459" s="316" t="s">
        <v>141</v>
      </c>
      <c r="D459" s="373">
        <f>[3]Лист_1!$T$402</f>
        <v>4140912.43</v>
      </c>
    </row>
    <row r="460" spans="1:10" x14ac:dyDescent="0.35">
      <c r="A460" s="317"/>
      <c r="B460" s="326"/>
      <c r="C460" s="316"/>
      <c r="D460" s="374"/>
    </row>
    <row r="461" spans="1:10" x14ac:dyDescent="0.35">
      <c r="A461" s="188" t="s">
        <v>26</v>
      </c>
      <c r="B461" s="145" t="s">
        <v>282</v>
      </c>
      <c r="C461" s="144" t="s">
        <v>141</v>
      </c>
      <c r="D461" s="68">
        <f>'[11]К. Беляева 40Б'!$D$21</f>
        <v>3416455.3434207439</v>
      </c>
    </row>
    <row r="462" spans="1:10" x14ac:dyDescent="0.35">
      <c r="A462" s="188" t="s">
        <v>29</v>
      </c>
      <c r="B462" s="145" t="s">
        <v>283</v>
      </c>
      <c r="C462" s="144" t="s">
        <v>141</v>
      </c>
      <c r="D462" s="68">
        <f>'[11]К. Беляева 40Б'!$D$22</f>
        <v>724457.08657925634</v>
      </c>
    </row>
    <row r="463" spans="1:10" x14ac:dyDescent="0.35">
      <c r="A463" s="316" t="s">
        <v>31</v>
      </c>
      <c r="B463" s="326" t="s">
        <v>246</v>
      </c>
      <c r="C463" s="316" t="s">
        <v>141</v>
      </c>
      <c r="D463" s="372">
        <f>[3]Лист_1!$AU$419+90400</f>
        <v>15466836.050000001</v>
      </c>
    </row>
    <row r="464" spans="1:10" ht="7.5" customHeight="1" x14ac:dyDescent="0.35">
      <c r="A464" s="316"/>
      <c r="B464" s="326"/>
      <c r="C464" s="316"/>
      <c r="D464" s="372"/>
    </row>
    <row r="465" spans="1:61" hidden="1" x14ac:dyDescent="0.35">
      <c r="A465" s="316"/>
      <c r="B465" s="326"/>
      <c r="C465" s="316"/>
      <c r="D465" s="372"/>
    </row>
    <row r="466" spans="1:61" x14ac:dyDescent="0.35">
      <c r="A466" s="317" t="s">
        <v>34</v>
      </c>
      <c r="B466" s="315" t="s">
        <v>247</v>
      </c>
      <c r="C466" s="317" t="s">
        <v>141</v>
      </c>
      <c r="D466" s="372">
        <f>D463</f>
        <v>15466836.050000001</v>
      </c>
      <c r="F466" s="58"/>
      <c r="K466" s="58"/>
      <c r="BF466" s="57" t="s">
        <v>459</v>
      </c>
    </row>
    <row r="467" spans="1:61" ht="2.5" customHeight="1" x14ac:dyDescent="0.35">
      <c r="A467" s="317"/>
      <c r="B467" s="315"/>
      <c r="C467" s="317"/>
      <c r="D467" s="372"/>
    </row>
    <row r="468" spans="1:61" x14ac:dyDescent="0.35">
      <c r="A468" s="188" t="s">
        <v>36</v>
      </c>
      <c r="B468" s="180" t="s">
        <v>330</v>
      </c>
      <c r="C468" s="188" t="s">
        <v>141</v>
      </c>
      <c r="D468" s="85">
        <f>[3]Лист_1!$AU$414</f>
        <v>549919.08000000007</v>
      </c>
      <c r="O468" s="58" t="e">
        <f>D468+D469+D470+#REF!</f>
        <v>#REF!</v>
      </c>
    </row>
    <row r="469" spans="1:61" x14ac:dyDescent="0.35">
      <c r="A469" s="188" t="s">
        <v>38</v>
      </c>
      <c r="B469" s="180" t="s">
        <v>289</v>
      </c>
      <c r="C469" s="188" t="s">
        <v>141</v>
      </c>
      <c r="D469" s="187">
        <f>[3]Лист_1!$AU$416</f>
        <v>8007895.8899999997</v>
      </c>
      <c r="BF469" s="58">
        <f>(D468+D469+D471+D473+D478+D479+D480+D481+D482)+D483</f>
        <v>14961368.329999998</v>
      </c>
      <c r="BG469" s="58">
        <f>BF469-D466</f>
        <v>-505467.72000000253</v>
      </c>
    </row>
    <row r="470" spans="1:61" x14ac:dyDescent="0.35">
      <c r="A470" s="175" t="s">
        <v>40</v>
      </c>
      <c r="B470" s="180" t="s">
        <v>248</v>
      </c>
      <c r="C470" s="188" t="s">
        <v>141</v>
      </c>
      <c r="D470" s="56">
        <v>0</v>
      </c>
    </row>
    <row r="471" spans="1:61" x14ac:dyDescent="0.35">
      <c r="A471" s="175" t="s">
        <v>42</v>
      </c>
      <c r="B471" s="180" t="s">
        <v>457</v>
      </c>
      <c r="C471" s="188" t="str">
        <f>C470</f>
        <v>руб.</v>
      </c>
      <c r="D471" s="68">
        <f>D390+D396+D402+D409+D415</f>
        <v>90400</v>
      </c>
    </row>
    <row r="472" spans="1:61" x14ac:dyDescent="0.35">
      <c r="A472" s="175" t="s">
        <v>44</v>
      </c>
      <c r="B472" s="306" t="s">
        <v>435</v>
      </c>
      <c r="C472" s="307"/>
      <c r="D472" s="308"/>
      <c r="BI472" s="57" t="s">
        <v>452</v>
      </c>
    </row>
    <row r="473" spans="1:61" x14ac:dyDescent="0.35">
      <c r="A473" s="175" t="s">
        <v>458</v>
      </c>
      <c r="B473" s="146" t="s">
        <v>475</v>
      </c>
      <c r="C473" s="188" t="str">
        <f>C470</f>
        <v>руб.</v>
      </c>
      <c r="D473" s="187">
        <f>[3]Лист_1!$AT$402</f>
        <v>4096832.14</v>
      </c>
      <c r="BI473" s="57" t="s">
        <v>453</v>
      </c>
    </row>
    <row r="474" spans="1:61" ht="31" x14ac:dyDescent="0.35">
      <c r="A474" s="175" t="s">
        <v>464</v>
      </c>
      <c r="B474" s="146" t="s">
        <v>462</v>
      </c>
      <c r="C474" s="188" t="str">
        <f>C473</f>
        <v>руб.</v>
      </c>
      <c r="D474" s="187">
        <f>[12]КБ40Б!$L$27</f>
        <v>2415690.3791999999</v>
      </c>
    </row>
    <row r="475" spans="1:61" ht="31" x14ac:dyDescent="0.35">
      <c r="A475" s="175" t="s">
        <v>465</v>
      </c>
      <c r="B475" s="146" t="s">
        <v>456</v>
      </c>
      <c r="C475" s="188" t="str">
        <f>C474</f>
        <v>руб.</v>
      </c>
      <c r="D475" s="187">
        <f>[12]КБ40Б!$H$3</f>
        <v>85551.884418720001</v>
      </c>
      <c r="BI475" s="57" t="s">
        <v>454</v>
      </c>
    </row>
    <row r="476" spans="1:61" ht="46.5" x14ac:dyDescent="0.35">
      <c r="A476" s="175" t="s">
        <v>466</v>
      </c>
      <c r="B476" s="146" t="s">
        <v>463</v>
      </c>
      <c r="C476" s="188" t="str">
        <f>C475</f>
        <v>руб.</v>
      </c>
      <c r="D476" s="187">
        <f>[12]КБ40Б!$H$30-19379.31</f>
        <v>878844.68279999995</v>
      </c>
      <c r="BF476" s="58">
        <f>D474+D475+D476+D477</f>
        <v>4096832.1388179371</v>
      </c>
      <c r="BG476" s="57">
        <v>4120303.1052187206</v>
      </c>
      <c r="BI476" s="57" t="s">
        <v>455</v>
      </c>
    </row>
    <row r="477" spans="1:61" x14ac:dyDescent="0.35">
      <c r="A477" s="175" t="s">
        <v>467</v>
      </c>
      <c r="B477" s="146" t="s">
        <v>460</v>
      </c>
      <c r="C477" s="188" t="str">
        <f>C476</f>
        <v>руб.</v>
      </c>
      <c r="D477" s="187">
        <f>[3]Лист_1!$AT$405</f>
        <v>716745.19239921717</v>
      </c>
      <c r="BF477" s="58">
        <f>BF476-D473</f>
        <v>-1.1820630170404911E-3</v>
      </c>
      <c r="BG477" s="58">
        <f>BG476-D473</f>
        <v>23470.965218720492</v>
      </c>
    </row>
    <row r="478" spans="1:61" x14ac:dyDescent="0.35">
      <c r="A478" s="175" t="s">
        <v>468</v>
      </c>
      <c r="B478" s="146" t="s">
        <v>432</v>
      </c>
      <c r="C478" s="188" t="s">
        <v>141</v>
      </c>
      <c r="D478" s="85">
        <f>[3]Лист_1!$AN$402</f>
        <v>2101418.4700000002</v>
      </c>
    </row>
    <row r="479" spans="1:61" x14ac:dyDescent="0.35">
      <c r="A479" s="175" t="s">
        <v>469</v>
      </c>
      <c r="B479" s="146" t="s">
        <v>433</v>
      </c>
      <c r="C479" s="188" t="s">
        <v>141</v>
      </c>
      <c r="D479" s="187">
        <f>[3]Лист_1!$AO$402</f>
        <v>73.77</v>
      </c>
      <c r="BH479" s="57">
        <f>D476/12</f>
        <v>73237.056899999996</v>
      </c>
    </row>
    <row r="480" spans="1:61" x14ac:dyDescent="0.35">
      <c r="A480" s="175" t="s">
        <v>470</v>
      </c>
      <c r="B480" s="146" t="s">
        <v>447</v>
      </c>
      <c r="C480" s="188" t="s">
        <v>141</v>
      </c>
      <c r="D480" s="187">
        <f>[3]Лист_1!$AQ$402</f>
        <v>31305.56</v>
      </c>
    </row>
    <row r="481" spans="1:11" x14ac:dyDescent="0.35">
      <c r="A481" s="175" t="s">
        <v>471</v>
      </c>
      <c r="B481" s="146" t="s">
        <v>474</v>
      </c>
      <c r="C481" s="188" t="s">
        <v>141</v>
      </c>
      <c r="D481" s="187">
        <f>[3]Лист_1!$AS$402</f>
        <v>554263.68999999994</v>
      </c>
    </row>
    <row r="482" spans="1:11" x14ac:dyDescent="0.35">
      <c r="A482" s="175" t="s">
        <v>472</v>
      </c>
      <c r="B482" s="146" t="s">
        <v>434</v>
      </c>
      <c r="C482" s="188" t="s">
        <v>141</v>
      </c>
      <c r="D482" s="187">
        <f>[3]Лист_1!$AV$402</f>
        <v>34727.449999999997</v>
      </c>
    </row>
    <row r="483" spans="1:11" ht="29" customHeight="1" x14ac:dyDescent="0.35">
      <c r="A483" s="175" t="s">
        <v>473</v>
      </c>
      <c r="B483" s="180" t="s">
        <v>479</v>
      </c>
      <c r="C483" s="188" t="s">
        <v>141</v>
      </c>
      <c r="D483" s="187">
        <f>[3]Лист_1!$BC$402</f>
        <v>-505467.72</v>
      </c>
    </row>
    <row r="484" spans="1:11" x14ac:dyDescent="0.35">
      <c r="A484" s="188" t="s">
        <v>46</v>
      </c>
      <c r="B484" s="180" t="s">
        <v>461</v>
      </c>
      <c r="C484" s="188" t="s">
        <v>141</v>
      </c>
      <c r="D484" s="187">
        <f>[3]Лист_1!$BH$400</f>
        <v>1952695.87</v>
      </c>
    </row>
    <row r="485" spans="1:11" ht="31" x14ac:dyDescent="0.35">
      <c r="A485" s="188" t="s">
        <v>49</v>
      </c>
      <c r="B485" s="180" t="s">
        <v>301</v>
      </c>
      <c r="C485" s="188" t="s">
        <v>141</v>
      </c>
      <c r="D485" s="68">
        <f>'[4]К. Беляева 40Б'!$D$96</f>
        <v>-577791.92785127182</v>
      </c>
      <c r="J485" s="57" t="s">
        <v>331</v>
      </c>
    </row>
    <row r="486" spans="1:11" x14ac:dyDescent="0.35">
      <c r="A486" s="188" t="s">
        <v>51</v>
      </c>
      <c r="B486" s="180" t="s">
        <v>243</v>
      </c>
      <c r="C486" s="188" t="s">
        <v>141</v>
      </c>
      <c r="D486" s="56">
        <v>0</v>
      </c>
    </row>
    <row r="487" spans="1:11" hidden="1" x14ac:dyDescent="0.35">
      <c r="A487" s="147" t="s">
        <v>51</v>
      </c>
      <c r="B487" s="148" t="s">
        <v>251</v>
      </c>
      <c r="C487" s="149" t="s">
        <v>141</v>
      </c>
      <c r="D487" s="248">
        <v>7791.29</v>
      </c>
    </row>
    <row r="488" spans="1:11" hidden="1" x14ac:dyDescent="0.35"/>
    <row r="489" spans="1:11" hidden="1" x14ac:dyDescent="0.35"/>
    <row r="490" spans="1:11" s="64" customFormat="1" ht="25.5" customHeight="1" x14ac:dyDescent="0.35">
      <c r="A490" s="331" t="s">
        <v>253</v>
      </c>
      <c r="B490" s="331"/>
      <c r="C490" s="331"/>
      <c r="D490" s="331"/>
    </row>
    <row r="491" spans="1:11" s="64" customFormat="1" hidden="1" x14ac:dyDescent="0.35">
      <c r="A491" s="151"/>
      <c r="B491" s="151"/>
      <c r="C491" s="151"/>
      <c r="D491" s="151"/>
    </row>
    <row r="492" spans="1:11" s="64" customFormat="1" x14ac:dyDescent="0.35">
      <c r="A492" s="188">
        <v>1</v>
      </c>
      <c r="B492" s="180" t="s">
        <v>254</v>
      </c>
      <c r="C492" s="188" t="s">
        <v>33</v>
      </c>
      <c r="D492" s="91">
        <v>12</v>
      </c>
      <c r="K492" s="64" t="s">
        <v>322</v>
      </c>
    </row>
    <row r="493" spans="1:11" s="64" customFormat="1" x14ac:dyDescent="0.35">
      <c r="A493" s="188"/>
      <c r="B493" s="180" t="s">
        <v>442</v>
      </c>
      <c r="C493" s="188"/>
      <c r="D493" s="85">
        <v>30210</v>
      </c>
    </row>
    <row r="494" spans="1:11" s="64" customFormat="1" x14ac:dyDescent="0.35">
      <c r="A494" s="188">
        <v>2</v>
      </c>
      <c r="B494" s="180" t="s">
        <v>255</v>
      </c>
      <c r="C494" s="188" t="s">
        <v>33</v>
      </c>
      <c r="D494" s="91">
        <v>0</v>
      </c>
    </row>
    <row r="495" spans="1:11" s="64" customFormat="1" ht="31" x14ac:dyDescent="0.35">
      <c r="A495" s="188">
        <v>3</v>
      </c>
      <c r="B495" s="180" t="s">
        <v>256</v>
      </c>
      <c r="C495" s="188" t="s">
        <v>141</v>
      </c>
      <c r="D495" s="91">
        <v>0</v>
      </c>
    </row>
    <row r="496" spans="1:11" s="64" customFormat="1" x14ac:dyDescent="0.35">
      <c r="A496" s="152"/>
      <c r="B496" s="153"/>
      <c r="C496" s="153"/>
      <c r="D496" s="152"/>
    </row>
  </sheetData>
  <mergeCells count="374">
    <mergeCell ref="B204:B205"/>
    <mergeCell ref="C204:C205"/>
    <mergeCell ref="B435:B436"/>
    <mergeCell ref="C435:C436"/>
    <mergeCell ref="D435:D436"/>
    <mergeCell ref="A448:D448"/>
    <mergeCell ref="D466:D467"/>
    <mergeCell ref="B450:B451"/>
    <mergeCell ref="C450:C451"/>
    <mergeCell ref="D450:D451"/>
    <mergeCell ref="A455:D455"/>
    <mergeCell ref="A459:A460"/>
    <mergeCell ref="B459:B460"/>
    <mergeCell ref="A466:A467"/>
    <mergeCell ref="C459:C460"/>
    <mergeCell ref="D459:D460"/>
    <mergeCell ref="B466:B467"/>
    <mergeCell ref="C466:C467"/>
    <mergeCell ref="D463:D465"/>
    <mergeCell ref="A463:A465"/>
    <mergeCell ref="B463:B465"/>
    <mergeCell ref="C463:C465"/>
    <mergeCell ref="B384:B385"/>
    <mergeCell ref="C384:C385"/>
    <mergeCell ref="D384:D385"/>
    <mergeCell ref="A406:A407"/>
    <mergeCell ref="B406:B407"/>
    <mergeCell ref="C406:C407"/>
    <mergeCell ref="D406:D407"/>
    <mergeCell ref="A433:D433"/>
    <mergeCell ref="B354:B355"/>
    <mergeCell ref="C354:C355"/>
    <mergeCell ref="B368:B369"/>
    <mergeCell ref="C368:C369"/>
    <mergeCell ref="B419:B420"/>
    <mergeCell ref="C419:C420"/>
    <mergeCell ref="D419:D420"/>
    <mergeCell ref="A421:D421"/>
    <mergeCell ref="A382:D382"/>
    <mergeCell ref="A417:D417"/>
    <mergeCell ref="D361:H361"/>
    <mergeCell ref="D362:H362"/>
    <mergeCell ref="D363:H363"/>
    <mergeCell ref="D364:H364"/>
    <mergeCell ref="D360:H360"/>
    <mergeCell ref="D374:H374"/>
    <mergeCell ref="D380:H380"/>
    <mergeCell ref="D365:H365"/>
    <mergeCell ref="A263:A266"/>
    <mergeCell ref="C263:C266"/>
    <mergeCell ref="B292:B293"/>
    <mergeCell ref="C292:C293"/>
    <mergeCell ref="B259:B260"/>
    <mergeCell ref="D267:H267"/>
    <mergeCell ref="D268:H268"/>
    <mergeCell ref="D269:H269"/>
    <mergeCell ref="D270:H270"/>
    <mergeCell ref="D271:H271"/>
    <mergeCell ref="D272:H272"/>
    <mergeCell ref="D273:H273"/>
    <mergeCell ref="D274:H274"/>
    <mergeCell ref="D275:H275"/>
    <mergeCell ref="D276:H276"/>
    <mergeCell ref="D277:H277"/>
    <mergeCell ref="D278:H278"/>
    <mergeCell ref="D279:H279"/>
    <mergeCell ref="D280:H280"/>
    <mergeCell ref="D281:H281"/>
    <mergeCell ref="D282:H282"/>
    <mergeCell ref="D283:H283"/>
    <mergeCell ref="D284:H284"/>
    <mergeCell ref="D285:H285"/>
    <mergeCell ref="B344:B345"/>
    <mergeCell ref="C344:C345"/>
    <mergeCell ref="B321:B322"/>
    <mergeCell ref="C321:C322"/>
    <mergeCell ref="A325:A326"/>
    <mergeCell ref="C325:C326"/>
    <mergeCell ref="B275:B276"/>
    <mergeCell ref="C275:C276"/>
    <mergeCell ref="A279:A282"/>
    <mergeCell ref="C279:C282"/>
    <mergeCell ref="B178:B179"/>
    <mergeCell ref="C178:C179"/>
    <mergeCell ref="D178:D179"/>
    <mergeCell ref="B187:B188"/>
    <mergeCell ref="C187:C188"/>
    <mergeCell ref="D187:D188"/>
    <mergeCell ref="B198:B199"/>
    <mergeCell ref="C198:C199"/>
    <mergeCell ref="D198:D199"/>
    <mergeCell ref="B161:B162"/>
    <mergeCell ref="C161:C162"/>
    <mergeCell ref="D161:D162"/>
    <mergeCell ref="B169:B170"/>
    <mergeCell ref="C169:C170"/>
    <mergeCell ref="D169:D170"/>
    <mergeCell ref="B145:B146"/>
    <mergeCell ref="C145:C146"/>
    <mergeCell ref="D145:D146"/>
    <mergeCell ref="D153:D154"/>
    <mergeCell ref="C153:C154"/>
    <mergeCell ref="B153:B154"/>
    <mergeCell ref="D60:H60"/>
    <mergeCell ref="D61:H61"/>
    <mergeCell ref="D62:H62"/>
    <mergeCell ref="D63:H63"/>
    <mergeCell ref="B139:B140"/>
    <mergeCell ref="C139:C140"/>
    <mergeCell ref="D139:D140"/>
    <mergeCell ref="B133:B134"/>
    <mergeCell ref="C133:C134"/>
    <mergeCell ref="D133:D134"/>
    <mergeCell ref="A100:H100"/>
    <mergeCell ref="B101:B102"/>
    <mergeCell ref="C101:C102"/>
    <mergeCell ref="D95:H95"/>
    <mergeCell ref="D97:H97"/>
    <mergeCell ref="D99:H99"/>
    <mergeCell ref="A96:H96"/>
    <mergeCell ref="A94:H94"/>
    <mergeCell ref="D86:H86"/>
    <mergeCell ref="D87:H87"/>
    <mergeCell ref="D89:H89"/>
    <mergeCell ref="D91:H91"/>
    <mergeCell ref="D93:H93"/>
    <mergeCell ref="D75:H75"/>
    <mergeCell ref="D13:H13"/>
    <mergeCell ref="D14:H14"/>
    <mergeCell ref="D15:H15"/>
    <mergeCell ref="D16:H16"/>
    <mergeCell ref="D17:H17"/>
    <mergeCell ref="D4:H5"/>
    <mergeCell ref="D34:H34"/>
    <mergeCell ref="D35:H35"/>
    <mergeCell ref="D36:H36"/>
    <mergeCell ref="B4:B5"/>
    <mergeCell ref="C4:C5"/>
    <mergeCell ref="D6:H6"/>
    <mergeCell ref="A7:H7"/>
    <mergeCell ref="D8:H8"/>
    <mergeCell ref="D9:H9"/>
    <mergeCell ref="A10:H10"/>
    <mergeCell ref="D11:H11"/>
    <mergeCell ref="A12:H12"/>
    <mergeCell ref="B212:B213"/>
    <mergeCell ref="C212:C213"/>
    <mergeCell ref="B224:B225"/>
    <mergeCell ref="C224:C225"/>
    <mergeCell ref="B230:B231"/>
    <mergeCell ref="C230:C231"/>
    <mergeCell ref="B218:B219"/>
    <mergeCell ref="C218:C219"/>
    <mergeCell ref="D215:H215"/>
    <mergeCell ref="D216:H216"/>
    <mergeCell ref="D217:H217"/>
    <mergeCell ref="D218:H218"/>
    <mergeCell ref="D219:H219"/>
    <mergeCell ref="D220:H220"/>
    <mergeCell ref="D221:H221"/>
    <mergeCell ref="D222:H222"/>
    <mergeCell ref="D223:H223"/>
    <mergeCell ref="D224:H224"/>
    <mergeCell ref="D225:H225"/>
    <mergeCell ref="D226:H226"/>
    <mergeCell ref="D227:H227"/>
    <mergeCell ref="D228:H228"/>
    <mergeCell ref="D229:H229"/>
    <mergeCell ref="D230:H230"/>
    <mergeCell ref="A490:D490"/>
    <mergeCell ref="B237:B238"/>
    <mergeCell ref="C237:C238"/>
    <mergeCell ref="D245:H245"/>
    <mergeCell ref="D246:H246"/>
    <mergeCell ref="D247:H247"/>
    <mergeCell ref="B248:H248"/>
    <mergeCell ref="D249:H249"/>
    <mergeCell ref="D250:H250"/>
    <mergeCell ref="D251:H251"/>
    <mergeCell ref="D252:H252"/>
    <mergeCell ref="D253:H253"/>
    <mergeCell ref="D254:H254"/>
    <mergeCell ref="D256:H256"/>
    <mergeCell ref="D257:H257"/>
    <mergeCell ref="D259:H259"/>
    <mergeCell ref="D260:H260"/>
    <mergeCell ref="D261:H261"/>
    <mergeCell ref="B337:B338"/>
    <mergeCell ref="D240:H240"/>
    <mergeCell ref="C337:C338"/>
    <mergeCell ref="C259:C260"/>
    <mergeCell ref="A258:D258"/>
    <mergeCell ref="A344:A345"/>
    <mergeCell ref="D204:H205"/>
    <mergeCell ref="D27:H27"/>
    <mergeCell ref="D28:H28"/>
    <mergeCell ref="D29:H29"/>
    <mergeCell ref="D30:H30"/>
    <mergeCell ref="D31:H31"/>
    <mergeCell ref="D32:H32"/>
    <mergeCell ref="A33:H33"/>
    <mergeCell ref="D18:H18"/>
    <mergeCell ref="D19:H19"/>
    <mergeCell ref="D20:H20"/>
    <mergeCell ref="D21:H21"/>
    <mergeCell ref="D22:H22"/>
    <mergeCell ref="D23:H23"/>
    <mergeCell ref="D24:H24"/>
    <mergeCell ref="D25:H25"/>
    <mergeCell ref="D26:H26"/>
    <mergeCell ref="A38:H38"/>
    <mergeCell ref="B39:B40"/>
    <mergeCell ref="C39:C40"/>
    <mergeCell ref="D45:H45"/>
    <mergeCell ref="D46:H46"/>
    <mergeCell ref="D48:H48"/>
    <mergeCell ref="D50:H50"/>
    <mergeCell ref="D206:H206"/>
    <mergeCell ref="D207:H207"/>
    <mergeCell ref="D208:H208"/>
    <mergeCell ref="D209:H209"/>
    <mergeCell ref="D210:H210"/>
    <mergeCell ref="D211:H211"/>
    <mergeCell ref="D212:H212"/>
    <mergeCell ref="D213:H213"/>
    <mergeCell ref="D214:H214"/>
    <mergeCell ref="D231:H231"/>
    <mergeCell ref="D232:H232"/>
    <mergeCell ref="D233:H233"/>
    <mergeCell ref="D234:H234"/>
    <mergeCell ref="D235:H235"/>
    <mergeCell ref="D236:H236"/>
    <mergeCell ref="D237:H237"/>
    <mergeCell ref="D238:H238"/>
    <mergeCell ref="D239:H239"/>
    <mergeCell ref="D241:H241"/>
    <mergeCell ref="D242:H242"/>
    <mergeCell ref="D243:H243"/>
    <mergeCell ref="D244:H244"/>
    <mergeCell ref="D262:H262"/>
    <mergeCell ref="D263:H263"/>
    <mergeCell ref="D264:H264"/>
    <mergeCell ref="D265:H265"/>
    <mergeCell ref="D266:H266"/>
    <mergeCell ref="D286:H286"/>
    <mergeCell ref="D287:H287"/>
    <mergeCell ref="D288:H288"/>
    <mergeCell ref="D289:H289"/>
    <mergeCell ref="D290:H290"/>
    <mergeCell ref="D291:H291"/>
    <mergeCell ref="D292:H292"/>
    <mergeCell ref="D293:H293"/>
    <mergeCell ref="D294:H294"/>
    <mergeCell ref="D295:H295"/>
    <mergeCell ref="D296:H296"/>
    <mergeCell ref="D297:H297"/>
    <mergeCell ref="D298:H298"/>
    <mergeCell ref="D299:H299"/>
    <mergeCell ref="D300:H300"/>
    <mergeCell ref="D301:H301"/>
    <mergeCell ref="D302:H302"/>
    <mergeCell ref="D303:H303"/>
    <mergeCell ref="D331:H331"/>
    <mergeCell ref="D332:H332"/>
    <mergeCell ref="D333:H333"/>
    <mergeCell ref="D304:H304"/>
    <mergeCell ref="D305:H305"/>
    <mergeCell ref="D306:H306"/>
    <mergeCell ref="D307:H307"/>
    <mergeCell ref="D308:H308"/>
    <mergeCell ref="D309:H309"/>
    <mergeCell ref="D310:H310"/>
    <mergeCell ref="D311:H311"/>
    <mergeCell ref="D312:H312"/>
    <mergeCell ref="D329:H329"/>
    <mergeCell ref="D330:H330"/>
    <mergeCell ref="D373:H373"/>
    <mergeCell ref="D352:H352"/>
    <mergeCell ref="D353:H353"/>
    <mergeCell ref="D354:H354"/>
    <mergeCell ref="D355:H355"/>
    <mergeCell ref="D356:H356"/>
    <mergeCell ref="D357:H357"/>
    <mergeCell ref="D358:H358"/>
    <mergeCell ref="D334:H334"/>
    <mergeCell ref="D335:H335"/>
    <mergeCell ref="D336:H336"/>
    <mergeCell ref="D337:H337"/>
    <mergeCell ref="D338:H338"/>
    <mergeCell ref="D339:H339"/>
    <mergeCell ref="D340:H340"/>
    <mergeCell ref="D371:H371"/>
    <mergeCell ref="D372:H372"/>
    <mergeCell ref="A1:H1"/>
    <mergeCell ref="A2:H2"/>
    <mergeCell ref="A3:H3"/>
    <mergeCell ref="A98:D98"/>
    <mergeCell ref="D326:H326"/>
    <mergeCell ref="D327:H327"/>
    <mergeCell ref="D328:H328"/>
    <mergeCell ref="D317:H317"/>
    <mergeCell ref="D318:H318"/>
    <mergeCell ref="D319:H319"/>
    <mergeCell ref="D320:H320"/>
    <mergeCell ref="D321:H321"/>
    <mergeCell ref="D322:H322"/>
    <mergeCell ref="D323:H323"/>
    <mergeCell ref="D324:H324"/>
    <mergeCell ref="D325:H325"/>
    <mergeCell ref="D313:H313"/>
    <mergeCell ref="D314:H314"/>
    <mergeCell ref="D315:H315"/>
    <mergeCell ref="D316:H316"/>
    <mergeCell ref="D39:H40"/>
    <mergeCell ref="D41:H41"/>
    <mergeCell ref="A42:H42"/>
    <mergeCell ref="D43:H43"/>
    <mergeCell ref="B472:D472"/>
    <mergeCell ref="D255:H255"/>
    <mergeCell ref="D375:H375"/>
    <mergeCell ref="D376:H376"/>
    <mergeCell ref="D377:H377"/>
    <mergeCell ref="D378:H378"/>
    <mergeCell ref="D379:H379"/>
    <mergeCell ref="D341:H341"/>
    <mergeCell ref="D342:H342"/>
    <mergeCell ref="D359:H359"/>
    <mergeCell ref="D343:H343"/>
    <mergeCell ref="D344:H344"/>
    <mergeCell ref="D345:H345"/>
    <mergeCell ref="D346:H346"/>
    <mergeCell ref="D347:H347"/>
    <mergeCell ref="D348:H348"/>
    <mergeCell ref="D349:H349"/>
    <mergeCell ref="D350:H350"/>
    <mergeCell ref="D351:H351"/>
    <mergeCell ref="D366:H366"/>
    <mergeCell ref="D367:H367"/>
    <mergeCell ref="D368:H368"/>
    <mergeCell ref="D369:H369"/>
    <mergeCell ref="D370:H370"/>
    <mergeCell ref="D76:H76"/>
    <mergeCell ref="D77:H77"/>
    <mergeCell ref="D78:H78"/>
    <mergeCell ref="D79:H79"/>
    <mergeCell ref="D80:H80"/>
    <mergeCell ref="D82:H82"/>
    <mergeCell ref="D83:H83"/>
    <mergeCell ref="D84:H84"/>
    <mergeCell ref="A81:H81"/>
    <mergeCell ref="A74:H74"/>
    <mergeCell ref="A67:H67"/>
    <mergeCell ref="A57:H57"/>
    <mergeCell ref="A54:H54"/>
    <mergeCell ref="A52:H52"/>
    <mergeCell ref="A49:H49"/>
    <mergeCell ref="A47:H47"/>
    <mergeCell ref="A44:H44"/>
    <mergeCell ref="D85:H85"/>
    <mergeCell ref="D64:H64"/>
    <mergeCell ref="D65:H65"/>
    <mergeCell ref="D66:H66"/>
    <mergeCell ref="D68:H68"/>
    <mergeCell ref="D69:H69"/>
    <mergeCell ref="D70:H70"/>
    <mergeCell ref="D71:H71"/>
    <mergeCell ref="D72:H72"/>
    <mergeCell ref="D73:H73"/>
    <mergeCell ref="D51:H51"/>
    <mergeCell ref="D53:H53"/>
    <mergeCell ref="D55:H55"/>
    <mergeCell ref="D56:H56"/>
    <mergeCell ref="D58:H58"/>
    <mergeCell ref="D59:H59"/>
  </mergeCells>
  <dataValidations disablePrompts="1" count="2">
    <dataValidation type="list" allowBlank="1" showInputMessage="1" showErrorMessage="1" sqref="B103:B132" xr:uid="{43BE8405-2E3C-4FA1-A627-3E424A4B6D5A}">
      <formula1>Справочник_работ_и_услуг</formula1>
    </dataValidation>
    <dataValidation type="list" allowBlank="1" showInputMessage="1" showErrorMessage="1" sqref="B103:B132" xr:uid="{DAD5A064-357D-4D40-83F1-7E244F49FB15}">
      <formula1>#REF!</formula1>
    </dataValidation>
  </dataValidations>
  <hyperlinks>
    <hyperlink ref="D328" r:id="rId1" display="http://uk-kod.ru/wp-content/uploads/2019/01/40-%D1%8D-%D0%BD%D0%B0%D1%81%D0%B5%D0%BB%D0%B5%D0%BD%D0%B8%D0%B5-2019.pdf" xr:uid="{285B8584-40A8-4D7B-B80C-8DE2AA3B80B7}"/>
  </hyperlinks>
  <pageMargins left="0.59055118110236227" right="0.39370078740157483" top="0.19685039370078741" bottom="0.19685039370078741" header="0" footer="0"/>
  <pageSetup paperSize="9" scale="52" fitToHeight="0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9D447-3D7C-456F-923C-843E9D1523B7}">
  <sheetPr>
    <pageSetUpPr fitToPage="1"/>
  </sheetPr>
  <dimension ref="A1:BI362"/>
  <sheetViews>
    <sheetView topLeftCell="A343" zoomScale="55" zoomScaleNormal="55" workbookViewId="0">
      <selection activeCell="G361" sqref="A1:H361"/>
    </sheetView>
  </sheetViews>
  <sheetFormatPr defaultRowHeight="15.5" x14ac:dyDescent="0.35"/>
  <cols>
    <col min="1" max="1" width="16.1796875" style="131" customWidth="1"/>
    <col min="2" max="2" width="63.1796875" style="57" customWidth="1"/>
    <col min="3" max="3" width="8.7265625" style="57"/>
    <col min="4" max="4" width="29.54296875" style="57" customWidth="1"/>
    <col min="5" max="5" width="13.1796875" style="57" customWidth="1"/>
    <col min="6" max="6" width="13" style="57" customWidth="1"/>
    <col min="7" max="7" width="13.453125" style="57" customWidth="1"/>
    <col min="8" max="8" width="12.7265625" style="57" customWidth="1"/>
    <col min="9" max="9" width="12.81640625" style="57" hidden="1" customWidth="1"/>
    <col min="10" max="10" width="8.7265625" style="57" hidden="1" customWidth="1"/>
    <col min="11" max="11" width="12.54296875" style="57" hidden="1" customWidth="1"/>
    <col min="12" max="12" width="0" style="57" hidden="1" customWidth="1"/>
    <col min="13" max="13" width="9.54296875" style="57" hidden="1" customWidth="1"/>
    <col min="14" max="23" width="0" style="57" hidden="1" customWidth="1"/>
    <col min="24" max="16384" width="8.7265625" style="57"/>
  </cols>
  <sheetData>
    <row r="1" spans="1:7" s="62" customFormat="1" ht="63.75" customHeight="1" x14ac:dyDescent="0.35">
      <c r="A1" s="379" t="s">
        <v>336</v>
      </c>
      <c r="B1" s="380"/>
      <c r="C1" s="380"/>
      <c r="D1" s="380"/>
    </row>
    <row r="2" spans="1:7" x14ac:dyDescent="0.35">
      <c r="A2" s="313" t="s">
        <v>337</v>
      </c>
      <c r="B2" s="313"/>
      <c r="C2" s="313"/>
      <c r="D2" s="313"/>
      <c r="E2" s="131"/>
    </row>
    <row r="3" spans="1:7" x14ac:dyDescent="0.35">
      <c r="A3" s="381" t="s">
        <v>488</v>
      </c>
      <c r="B3" s="381"/>
      <c r="C3" s="381"/>
      <c r="D3" s="381"/>
      <c r="E3" s="252"/>
    </row>
    <row r="4" spans="1:7" ht="43" customHeight="1" x14ac:dyDescent="0.35">
      <c r="A4" s="202" t="s">
        <v>0</v>
      </c>
      <c r="B4" s="316" t="s">
        <v>2</v>
      </c>
      <c r="C4" s="316" t="s">
        <v>3</v>
      </c>
      <c r="D4" s="316" t="s">
        <v>4</v>
      </c>
      <c r="E4" s="209"/>
      <c r="G4" s="253"/>
    </row>
    <row r="5" spans="1:7" x14ac:dyDescent="0.35">
      <c r="A5" s="202" t="s">
        <v>1</v>
      </c>
      <c r="B5" s="316"/>
      <c r="C5" s="316"/>
      <c r="D5" s="316"/>
      <c r="E5" s="209"/>
      <c r="G5" s="253"/>
    </row>
    <row r="6" spans="1:7" x14ac:dyDescent="0.35">
      <c r="A6" s="204" t="s">
        <v>5</v>
      </c>
      <c r="B6" s="205" t="s">
        <v>6</v>
      </c>
      <c r="C6" s="204" t="s">
        <v>7</v>
      </c>
      <c r="D6" s="103">
        <v>46073</v>
      </c>
      <c r="E6" s="254"/>
      <c r="G6" s="253"/>
    </row>
    <row r="7" spans="1:7" ht="21" customHeight="1" x14ac:dyDescent="0.35">
      <c r="A7" s="315" t="s">
        <v>8</v>
      </c>
      <c r="B7" s="315"/>
      <c r="C7" s="315"/>
      <c r="D7" s="315"/>
      <c r="E7" s="153"/>
      <c r="G7" s="255"/>
    </row>
    <row r="8" spans="1:7" ht="35" customHeight="1" x14ac:dyDescent="0.35">
      <c r="A8" s="204" t="s">
        <v>9</v>
      </c>
      <c r="B8" s="205" t="s">
        <v>10</v>
      </c>
      <c r="C8" s="204" t="s">
        <v>7</v>
      </c>
      <c r="D8" s="256" t="s">
        <v>284</v>
      </c>
      <c r="E8" s="257"/>
    </row>
    <row r="9" spans="1:7" x14ac:dyDescent="0.35">
      <c r="A9" s="204" t="s">
        <v>12</v>
      </c>
      <c r="B9" s="205" t="s">
        <v>13</v>
      </c>
      <c r="C9" s="204" t="s">
        <v>7</v>
      </c>
      <c r="D9" s="208"/>
      <c r="E9" s="258"/>
    </row>
    <row r="10" spans="1:7" ht="15" customHeight="1" x14ac:dyDescent="0.35">
      <c r="A10" s="315" t="s">
        <v>14</v>
      </c>
      <c r="B10" s="315"/>
      <c r="C10" s="315"/>
      <c r="D10" s="315"/>
      <c r="E10" s="153"/>
    </row>
    <row r="11" spans="1:7" x14ac:dyDescent="0.35">
      <c r="A11" s="204" t="s">
        <v>15</v>
      </c>
      <c r="B11" s="205" t="s">
        <v>16</v>
      </c>
      <c r="C11" s="204" t="s">
        <v>7</v>
      </c>
      <c r="D11" s="256" t="s">
        <v>257</v>
      </c>
      <c r="E11" s="257"/>
    </row>
    <row r="12" spans="1:7" ht="13" customHeight="1" x14ac:dyDescent="0.35">
      <c r="A12" s="315" t="s">
        <v>17</v>
      </c>
      <c r="B12" s="315"/>
      <c r="C12" s="315"/>
      <c r="D12" s="315"/>
      <c r="E12" s="153"/>
    </row>
    <row r="13" spans="1:7" x14ac:dyDescent="0.35">
      <c r="A13" s="204" t="s">
        <v>18</v>
      </c>
      <c r="B13" s="205" t="s">
        <v>19</v>
      </c>
      <c r="C13" s="204" t="s">
        <v>7</v>
      </c>
      <c r="D13" s="259" t="s">
        <v>285</v>
      </c>
      <c r="E13" s="260"/>
    </row>
    <row r="14" spans="1:7" x14ac:dyDescent="0.35">
      <c r="A14" s="204" t="s">
        <v>21</v>
      </c>
      <c r="B14" s="205" t="s">
        <v>22</v>
      </c>
      <c r="C14" s="204" t="s">
        <v>7</v>
      </c>
      <c r="D14" s="256">
        <v>2012</v>
      </c>
      <c r="E14" s="257"/>
    </row>
    <row r="15" spans="1:7" x14ac:dyDescent="0.35">
      <c r="A15" s="204" t="s">
        <v>23</v>
      </c>
      <c r="B15" s="205" t="s">
        <v>24</v>
      </c>
      <c r="C15" s="204" t="s">
        <v>7</v>
      </c>
      <c r="D15" s="256" t="s">
        <v>25</v>
      </c>
      <c r="E15" s="257"/>
    </row>
    <row r="16" spans="1:7" x14ac:dyDescent="0.35">
      <c r="A16" s="204" t="s">
        <v>26</v>
      </c>
      <c r="B16" s="205" t="s">
        <v>27</v>
      </c>
      <c r="C16" s="204" t="s">
        <v>7</v>
      </c>
      <c r="D16" s="256" t="s">
        <v>28</v>
      </c>
      <c r="E16" s="257"/>
    </row>
    <row r="17" spans="1:14" x14ac:dyDescent="0.35">
      <c r="A17" s="204" t="s">
        <v>29</v>
      </c>
      <c r="B17" s="205" t="s">
        <v>30</v>
      </c>
      <c r="C17" s="204" t="s">
        <v>7</v>
      </c>
      <c r="D17" s="256">
        <v>25</v>
      </c>
      <c r="E17" s="257"/>
    </row>
    <row r="18" spans="1:14" x14ac:dyDescent="0.35">
      <c r="A18" s="204" t="s">
        <v>31</v>
      </c>
      <c r="B18" s="95" t="s">
        <v>32</v>
      </c>
      <c r="C18" s="204" t="s">
        <v>33</v>
      </c>
      <c r="D18" s="256">
        <v>25</v>
      </c>
      <c r="E18" s="257"/>
    </row>
    <row r="19" spans="1:14" x14ac:dyDescent="0.35">
      <c r="A19" s="204" t="s">
        <v>34</v>
      </c>
      <c r="B19" s="95" t="s">
        <v>35</v>
      </c>
      <c r="C19" s="204" t="s">
        <v>33</v>
      </c>
      <c r="D19" s="256">
        <v>1</v>
      </c>
      <c r="E19" s="257"/>
    </row>
    <row r="20" spans="1:14" x14ac:dyDescent="0.35">
      <c r="A20" s="204" t="s">
        <v>36</v>
      </c>
      <c r="B20" s="205" t="s">
        <v>37</v>
      </c>
      <c r="C20" s="204" t="s">
        <v>33</v>
      </c>
      <c r="D20" s="256">
        <v>1</v>
      </c>
      <c r="E20" s="257"/>
    </row>
    <row r="21" spans="1:14" x14ac:dyDescent="0.35">
      <c r="A21" s="204" t="s">
        <v>38</v>
      </c>
      <c r="B21" s="205" t="s">
        <v>39</v>
      </c>
      <c r="C21" s="204" t="s">
        <v>33</v>
      </c>
      <c r="D21" s="256">
        <v>3</v>
      </c>
      <c r="E21" s="257"/>
    </row>
    <row r="22" spans="1:14" x14ac:dyDescent="0.35">
      <c r="A22" s="204" t="s">
        <v>40</v>
      </c>
      <c r="B22" s="205" t="s">
        <v>41</v>
      </c>
      <c r="C22" s="204" t="s">
        <v>7</v>
      </c>
      <c r="D22" s="256"/>
      <c r="E22" s="257"/>
    </row>
    <row r="23" spans="1:14" x14ac:dyDescent="0.35">
      <c r="A23" s="204" t="s">
        <v>42</v>
      </c>
      <c r="B23" s="95" t="s">
        <v>43</v>
      </c>
      <c r="C23" s="204" t="s">
        <v>33</v>
      </c>
      <c r="D23" s="256">
        <v>192</v>
      </c>
      <c r="E23" s="257"/>
    </row>
    <row r="24" spans="1:14" x14ac:dyDescent="0.35">
      <c r="A24" s="204" t="s">
        <v>44</v>
      </c>
      <c r="B24" s="95" t="s">
        <v>45</v>
      </c>
      <c r="C24" s="204" t="s">
        <v>33</v>
      </c>
      <c r="D24" s="256">
        <v>5</v>
      </c>
      <c r="E24" s="257"/>
    </row>
    <row r="25" spans="1:14" x14ac:dyDescent="0.35">
      <c r="A25" s="204" t="s">
        <v>46</v>
      </c>
      <c r="B25" s="205" t="s">
        <v>47</v>
      </c>
      <c r="C25" s="204" t="s">
        <v>48</v>
      </c>
      <c r="D25" s="256">
        <v>16416.400000000001</v>
      </c>
      <c r="E25" s="257"/>
    </row>
    <row r="26" spans="1:14" x14ac:dyDescent="0.35">
      <c r="A26" s="204" t="s">
        <v>49</v>
      </c>
      <c r="B26" s="95" t="s">
        <v>50</v>
      </c>
      <c r="C26" s="204" t="s">
        <v>48</v>
      </c>
      <c r="D26" s="256">
        <v>12107.9</v>
      </c>
      <c r="E26" s="257"/>
      <c r="N26" s="57">
        <f>D26+D27</f>
        <v>12647.699999999999</v>
      </c>
    </row>
    <row r="27" spans="1:14" x14ac:dyDescent="0.35">
      <c r="A27" s="204" t="s">
        <v>51</v>
      </c>
      <c r="B27" s="95" t="s">
        <v>52</v>
      </c>
      <c r="C27" s="204" t="s">
        <v>48</v>
      </c>
      <c r="D27" s="256">
        <v>539.79999999999995</v>
      </c>
      <c r="E27" s="257"/>
    </row>
    <row r="28" spans="1:14" ht="31.5" thickBot="1" x14ac:dyDescent="0.4">
      <c r="A28" s="204" t="s">
        <v>53</v>
      </c>
      <c r="B28" s="95" t="s">
        <v>54</v>
      </c>
      <c r="C28" s="204" t="s">
        <v>48</v>
      </c>
      <c r="D28" s="256">
        <v>3768.7</v>
      </c>
      <c r="E28" s="257"/>
    </row>
    <row r="29" spans="1:14" ht="31" x14ac:dyDescent="0.35">
      <c r="A29" s="204" t="s">
        <v>55</v>
      </c>
      <c r="B29" s="205" t="s">
        <v>56</v>
      </c>
      <c r="C29" s="204" t="s">
        <v>7</v>
      </c>
      <c r="D29" s="261" t="s">
        <v>286</v>
      </c>
      <c r="E29" s="257"/>
    </row>
    <row r="30" spans="1:14" ht="31" x14ac:dyDescent="0.35">
      <c r="A30" s="204" t="s">
        <v>57</v>
      </c>
      <c r="B30" s="205" t="s">
        <v>58</v>
      </c>
      <c r="C30" s="204" t="s">
        <v>48</v>
      </c>
      <c r="D30" s="256">
        <v>4763</v>
      </c>
      <c r="E30" s="257"/>
    </row>
    <row r="31" spans="1:14" x14ac:dyDescent="0.35">
      <c r="A31" s="204" t="s">
        <v>59</v>
      </c>
      <c r="B31" s="205" t="s">
        <v>60</v>
      </c>
      <c r="C31" s="204" t="s">
        <v>48</v>
      </c>
      <c r="D31" s="256">
        <v>405</v>
      </c>
      <c r="E31" s="257"/>
    </row>
    <row r="32" spans="1:14" x14ac:dyDescent="0.35">
      <c r="A32" s="204" t="s">
        <v>61</v>
      </c>
      <c r="B32" s="205" t="s">
        <v>62</v>
      </c>
      <c r="C32" s="204" t="s">
        <v>7</v>
      </c>
      <c r="D32" s="256" t="s">
        <v>63</v>
      </c>
      <c r="E32" s="257"/>
    </row>
    <row r="33" spans="1:5" x14ac:dyDescent="0.35">
      <c r="A33" s="315" t="s">
        <v>64</v>
      </c>
      <c r="B33" s="315"/>
      <c r="C33" s="315"/>
      <c r="D33" s="315"/>
      <c r="E33" s="153"/>
    </row>
    <row r="34" spans="1:5" x14ac:dyDescent="0.35">
      <c r="A34" s="204" t="s">
        <v>65</v>
      </c>
      <c r="B34" s="205" t="s">
        <v>66</v>
      </c>
      <c r="C34" s="204" t="s">
        <v>7</v>
      </c>
      <c r="D34" s="256" t="s">
        <v>67</v>
      </c>
      <c r="E34" s="257"/>
    </row>
    <row r="35" spans="1:5" x14ac:dyDescent="0.35">
      <c r="A35" s="204" t="s">
        <v>68</v>
      </c>
      <c r="B35" s="205" t="s">
        <v>69</v>
      </c>
      <c r="C35" s="204" t="s">
        <v>7</v>
      </c>
      <c r="D35" s="256" t="s">
        <v>67</v>
      </c>
      <c r="E35" s="257"/>
    </row>
    <row r="36" spans="1:5" x14ac:dyDescent="0.35">
      <c r="A36" s="204" t="s">
        <v>70</v>
      </c>
      <c r="B36" s="205" t="s">
        <v>259</v>
      </c>
      <c r="C36" s="204" t="s">
        <v>7</v>
      </c>
      <c r="D36" s="256">
        <v>33</v>
      </c>
      <c r="E36" s="257"/>
    </row>
    <row r="37" spans="1:5" x14ac:dyDescent="0.35">
      <c r="A37" s="106"/>
      <c r="B37" s="91"/>
      <c r="C37" s="91"/>
      <c r="D37" s="91"/>
    </row>
    <row r="38" spans="1:5" ht="33" customHeight="1" x14ac:dyDescent="0.35">
      <c r="A38" s="377" t="s">
        <v>71</v>
      </c>
      <c r="B38" s="378"/>
      <c r="C38" s="378"/>
      <c r="D38" s="378"/>
      <c r="E38" s="262"/>
    </row>
    <row r="39" spans="1:5" x14ac:dyDescent="0.35">
      <c r="A39" s="102" t="s">
        <v>0</v>
      </c>
      <c r="B39" s="330" t="s">
        <v>2</v>
      </c>
      <c r="C39" s="330" t="s">
        <v>3</v>
      </c>
      <c r="D39" s="326" t="s">
        <v>4</v>
      </c>
      <c r="E39" s="263"/>
    </row>
    <row r="40" spans="1:5" x14ac:dyDescent="0.35">
      <c r="A40" s="200" t="s">
        <v>1</v>
      </c>
      <c r="B40" s="330"/>
      <c r="C40" s="330"/>
      <c r="D40" s="326"/>
      <c r="E40" s="263"/>
    </row>
    <row r="41" spans="1:5" x14ac:dyDescent="0.35">
      <c r="A41" s="206" t="s">
        <v>5</v>
      </c>
      <c r="B41" s="207" t="s">
        <v>6</v>
      </c>
      <c r="C41" s="206" t="s">
        <v>7</v>
      </c>
      <c r="D41" s="103">
        <v>46073</v>
      </c>
      <c r="E41" s="254"/>
    </row>
    <row r="42" spans="1:5" x14ac:dyDescent="0.35">
      <c r="A42" s="315" t="s">
        <v>72</v>
      </c>
      <c r="B42" s="315"/>
      <c r="C42" s="315"/>
      <c r="D42" s="315"/>
      <c r="E42" s="153"/>
    </row>
    <row r="43" spans="1:5" ht="16" x14ac:dyDescent="0.35">
      <c r="A43" s="206" t="s">
        <v>9</v>
      </c>
      <c r="B43" s="207" t="s">
        <v>73</v>
      </c>
      <c r="C43" s="206" t="s">
        <v>7</v>
      </c>
      <c r="D43" s="104" t="s">
        <v>74</v>
      </c>
      <c r="E43" s="264"/>
    </row>
    <row r="44" spans="1:5" x14ac:dyDescent="0.35">
      <c r="A44" s="315" t="s">
        <v>75</v>
      </c>
      <c r="B44" s="315"/>
      <c r="C44" s="315"/>
      <c r="D44" s="315"/>
      <c r="E44" s="153"/>
    </row>
    <row r="45" spans="1:5" ht="16" x14ac:dyDescent="0.35">
      <c r="A45" s="206" t="s">
        <v>12</v>
      </c>
      <c r="B45" s="207" t="s">
        <v>76</v>
      </c>
      <c r="C45" s="206" t="s">
        <v>7</v>
      </c>
      <c r="D45" s="104" t="s">
        <v>77</v>
      </c>
      <c r="E45" s="264"/>
    </row>
    <row r="46" spans="1:5" ht="16" x14ac:dyDescent="0.35">
      <c r="A46" s="206" t="s">
        <v>15</v>
      </c>
      <c r="B46" s="207" t="s">
        <v>78</v>
      </c>
      <c r="C46" s="206" t="s">
        <v>7</v>
      </c>
      <c r="D46" s="104" t="s">
        <v>79</v>
      </c>
      <c r="E46" s="264"/>
    </row>
    <row r="47" spans="1:5" x14ac:dyDescent="0.35">
      <c r="A47" s="315" t="s">
        <v>80</v>
      </c>
      <c r="B47" s="315"/>
      <c r="C47" s="315"/>
      <c r="D47" s="315"/>
      <c r="E47" s="153"/>
    </row>
    <row r="48" spans="1:5" ht="16" x14ac:dyDescent="0.35">
      <c r="A48" s="206" t="s">
        <v>18</v>
      </c>
      <c r="B48" s="207" t="s">
        <v>81</v>
      </c>
      <c r="C48" s="206" t="s">
        <v>7</v>
      </c>
      <c r="D48" s="104" t="s">
        <v>82</v>
      </c>
      <c r="E48" s="264"/>
    </row>
    <row r="49" spans="1:5" x14ac:dyDescent="0.35">
      <c r="A49" s="315" t="s">
        <v>83</v>
      </c>
      <c r="B49" s="315"/>
      <c r="C49" s="315"/>
      <c r="D49" s="315"/>
      <c r="E49" s="153"/>
    </row>
    <row r="50" spans="1:5" ht="16" x14ac:dyDescent="0.35">
      <c r="A50" s="206" t="s">
        <v>21</v>
      </c>
      <c r="B50" s="207" t="s">
        <v>84</v>
      </c>
      <c r="C50" s="206" t="s">
        <v>7</v>
      </c>
      <c r="D50" s="104" t="s">
        <v>85</v>
      </c>
      <c r="E50" s="264"/>
    </row>
    <row r="51" spans="1:5" ht="16" x14ac:dyDescent="0.35">
      <c r="A51" s="206" t="s">
        <v>23</v>
      </c>
      <c r="B51" s="207" t="s">
        <v>86</v>
      </c>
      <c r="C51" s="206" t="s">
        <v>7</v>
      </c>
      <c r="D51" s="104" t="s">
        <v>87</v>
      </c>
      <c r="E51" s="264"/>
    </row>
    <row r="52" spans="1:5" x14ac:dyDescent="0.35">
      <c r="A52" s="315" t="s">
        <v>88</v>
      </c>
      <c r="B52" s="315"/>
      <c r="C52" s="315"/>
      <c r="D52" s="315"/>
      <c r="E52" s="153"/>
    </row>
    <row r="53" spans="1:5" ht="16" x14ac:dyDescent="0.35">
      <c r="A53" s="206" t="s">
        <v>26</v>
      </c>
      <c r="B53" s="207" t="s">
        <v>89</v>
      </c>
      <c r="C53" s="206" t="s">
        <v>48</v>
      </c>
      <c r="D53" s="104">
        <v>1400</v>
      </c>
      <c r="E53" s="264"/>
    </row>
    <row r="54" spans="1:5" x14ac:dyDescent="0.35">
      <c r="A54" s="315" t="s">
        <v>90</v>
      </c>
      <c r="B54" s="315"/>
      <c r="C54" s="315"/>
      <c r="D54" s="315"/>
      <c r="E54" s="153"/>
    </row>
    <row r="55" spans="1:5" ht="16" x14ac:dyDescent="0.35">
      <c r="A55" s="206" t="s">
        <v>29</v>
      </c>
      <c r="B55" s="207" t="s">
        <v>91</v>
      </c>
      <c r="C55" s="206" t="s">
        <v>7</v>
      </c>
      <c r="D55" s="104"/>
      <c r="E55" s="264"/>
    </row>
    <row r="56" spans="1:5" ht="16" x14ac:dyDescent="0.35">
      <c r="A56" s="206" t="s">
        <v>31</v>
      </c>
      <c r="B56" s="207" t="s">
        <v>92</v>
      </c>
      <c r="C56" s="206" t="s">
        <v>33</v>
      </c>
      <c r="D56" s="104">
        <v>1</v>
      </c>
      <c r="E56" s="264"/>
    </row>
    <row r="57" spans="1:5" x14ac:dyDescent="0.35">
      <c r="A57" s="315" t="s">
        <v>93</v>
      </c>
      <c r="B57" s="315"/>
      <c r="C57" s="315"/>
      <c r="D57" s="315"/>
      <c r="E57" s="153"/>
    </row>
    <row r="58" spans="1:5" ht="16" x14ac:dyDescent="0.35">
      <c r="A58" s="206" t="s">
        <v>34</v>
      </c>
      <c r="B58" s="207" t="s">
        <v>94</v>
      </c>
      <c r="C58" s="206" t="s">
        <v>7</v>
      </c>
      <c r="D58" s="104">
        <v>1</v>
      </c>
      <c r="E58" s="264"/>
    </row>
    <row r="59" spans="1:5" ht="16" x14ac:dyDescent="0.35">
      <c r="A59" s="206" t="s">
        <v>36</v>
      </c>
      <c r="B59" s="207" t="s">
        <v>95</v>
      </c>
      <c r="C59" s="206" t="s">
        <v>7</v>
      </c>
      <c r="D59" s="104" t="s">
        <v>96</v>
      </c>
      <c r="E59" s="264"/>
    </row>
    <row r="60" spans="1:5" x14ac:dyDescent="0.35">
      <c r="A60" s="206" t="s">
        <v>38</v>
      </c>
      <c r="B60" s="207" t="s">
        <v>97</v>
      </c>
      <c r="C60" s="206" t="s">
        <v>7</v>
      </c>
      <c r="D60" s="84">
        <v>2012</v>
      </c>
      <c r="E60" s="189"/>
    </row>
    <row r="61" spans="1:5" ht="16" x14ac:dyDescent="0.35">
      <c r="A61" s="206" t="s">
        <v>34</v>
      </c>
      <c r="B61" s="207" t="s">
        <v>94</v>
      </c>
      <c r="C61" s="206" t="s">
        <v>7</v>
      </c>
      <c r="D61" s="104">
        <v>1</v>
      </c>
      <c r="E61" s="264"/>
    </row>
    <row r="62" spans="1:5" ht="16" x14ac:dyDescent="0.35">
      <c r="A62" s="206" t="s">
        <v>36</v>
      </c>
      <c r="B62" s="207" t="s">
        <v>95</v>
      </c>
      <c r="C62" s="206" t="s">
        <v>7</v>
      </c>
      <c r="D62" s="104" t="s">
        <v>96</v>
      </c>
      <c r="E62" s="264"/>
    </row>
    <row r="63" spans="1:5" x14ac:dyDescent="0.35">
      <c r="A63" s="206" t="s">
        <v>38</v>
      </c>
      <c r="B63" s="207" t="s">
        <v>97</v>
      </c>
      <c r="C63" s="206" t="s">
        <v>7</v>
      </c>
      <c r="D63" s="84">
        <v>2012</v>
      </c>
      <c r="E63" s="189"/>
    </row>
    <row r="64" spans="1:5" ht="16" x14ac:dyDescent="0.35">
      <c r="A64" s="206" t="s">
        <v>34</v>
      </c>
      <c r="B64" s="207" t="s">
        <v>94</v>
      </c>
      <c r="C64" s="206" t="s">
        <v>7</v>
      </c>
      <c r="D64" s="104">
        <v>1</v>
      </c>
      <c r="E64" s="264"/>
    </row>
    <row r="65" spans="1:5" ht="16" x14ac:dyDescent="0.35">
      <c r="A65" s="206" t="s">
        <v>36</v>
      </c>
      <c r="B65" s="207" t="s">
        <v>95</v>
      </c>
      <c r="C65" s="206" t="s">
        <v>7</v>
      </c>
      <c r="D65" s="104" t="s">
        <v>98</v>
      </c>
      <c r="E65" s="264"/>
    </row>
    <row r="66" spans="1:5" x14ac:dyDescent="0.35">
      <c r="A66" s="206" t="s">
        <v>38</v>
      </c>
      <c r="B66" s="207" t="s">
        <v>97</v>
      </c>
      <c r="C66" s="206" t="s">
        <v>7</v>
      </c>
      <c r="D66" s="84">
        <v>2012</v>
      </c>
      <c r="E66" s="189"/>
    </row>
    <row r="67" spans="1:5" x14ac:dyDescent="0.35">
      <c r="A67" s="315" t="s">
        <v>99</v>
      </c>
      <c r="B67" s="315"/>
      <c r="C67" s="315"/>
      <c r="D67" s="315"/>
      <c r="E67" s="153"/>
    </row>
    <row r="68" spans="1:5" ht="16" x14ac:dyDescent="0.35">
      <c r="A68" s="206" t="s">
        <v>40</v>
      </c>
      <c r="B68" s="207" t="s">
        <v>100</v>
      </c>
      <c r="C68" s="206" t="s">
        <v>7</v>
      </c>
      <c r="D68" s="104" t="s">
        <v>101</v>
      </c>
      <c r="E68" s="264"/>
    </row>
    <row r="69" spans="1:5" ht="16" x14ac:dyDescent="0.35">
      <c r="A69" s="206" t="s">
        <v>42</v>
      </c>
      <c r="B69" s="207" t="s">
        <v>102</v>
      </c>
      <c r="C69" s="206" t="s">
        <v>7</v>
      </c>
      <c r="D69" s="104" t="s">
        <v>103</v>
      </c>
      <c r="E69" s="264"/>
    </row>
    <row r="70" spans="1:5" ht="16" x14ac:dyDescent="0.35">
      <c r="A70" s="206" t="s">
        <v>44</v>
      </c>
      <c r="B70" s="207" t="s">
        <v>104</v>
      </c>
      <c r="C70" s="206" t="s">
        <v>7</v>
      </c>
      <c r="D70" s="104" t="s">
        <v>105</v>
      </c>
      <c r="E70" s="264"/>
    </row>
    <row r="71" spans="1:5" ht="16" x14ac:dyDescent="0.35">
      <c r="A71" s="206" t="s">
        <v>46</v>
      </c>
      <c r="B71" s="207" t="s">
        <v>106</v>
      </c>
      <c r="C71" s="206" t="s">
        <v>7</v>
      </c>
      <c r="D71" s="104" t="s">
        <v>107</v>
      </c>
      <c r="E71" s="264"/>
    </row>
    <row r="72" spans="1:5" x14ac:dyDescent="0.35">
      <c r="A72" s="206" t="s">
        <v>49</v>
      </c>
      <c r="B72" s="207" t="s">
        <v>108</v>
      </c>
      <c r="C72" s="206" t="s">
        <v>7</v>
      </c>
      <c r="D72" s="84">
        <v>2012</v>
      </c>
      <c r="E72" s="189"/>
    </row>
    <row r="73" spans="1:5" x14ac:dyDescent="0.35">
      <c r="A73" s="206" t="s">
        <v>51</v>
      </c>
      <c r="B73" s="207" t="s">
        <v>109</v>
      </c>
      <c r="C73" s="206" t="s">
        <v>7</v>
      </c>
      <c r="D73" s="105">
        <v>44806</v>
      </c>
      <c r="E73" s="190"/>
    </row>
    <row r="74" spans="1:5" x14ac:dyDescent="0.35">
      <c r="A74" s="315" t="s">
        <v>99</v>
      </c>
      <c r="B74" s="315"/>
      <c r="C74" s="315"/>
      <c r="D74" s="315"/>
      <c r="E74" s="153"/>
    </row>
    <row r="75" spans="1:5" ht="16" x14ac:dyDescent="0.35">
      <c r="A75" s="206" t="s">
        <v>53</v>
      </c>
      <c r="B75" s="207" t="s">
        <v>110</v>
      </c>
      <c r="C75" s="206" t="s">
        <v>7</v>
      </c>
      <c r="D75" s="104" t="s">
        <v>111</v>
      </c>
      <c r="E75" s="264"/>
    </row>
    <row r="76" spans="1:5" ht="16" x14ac:dyDescent="0.35">
      <c r="A76" s="206" t="s">
        <v>55</v>
      </c>
      <c r="B76" s="207" t="s">
        <v>112</v>
      </c>
      <c r="C76" s="206" t="s">
        <v>7</v>
      </c>
      <c r="D76" s="104" t="s">
        <v>113</v>
      </c>
      <c r="E76" s="264"/>
    </row>
    <row r="77" spans="1:5" ht="16" x14ac:dyDescent="0.35">
      <c r="A77" s="206" t="s">
        <v>57</v>
      </c>
      <c r="B77" s="207" t="s">
        <v>104</v>
      </c>
      <c r="C77" s="206" t="s">
        <v>7</v>
      </c>
      <c r="D77" s="104" t="s">
        <v>114</v>
      </c>
      <c r="E77" s="264"/>
    </row>
    <row r="78" spans="1:5" ht="16" x14ac:dyDescent="0.35">
      <c r="A78" s="206" t="s">
        <v>59</v>
      </c>
      <c r="B78" s="207" t="s">
        <v>106</v>
      </c>
      <c r="C78" s="206" t="s">
        <v>7</v>
      </c>
      <c r="D78" s="104" t="s">
        <v>115</v>
      </c>
      <c r="E78" s="264"/>
    </row>
    <row r="79" spans="1:5" x14ac:dyDescent="0.35">
      <c r="A79" s="206" t="s">
        <v>61</v>
      </c>
      <c r="B79" s="207" t="s">
        <v>108</v>
      </c>
      <c r="C79" s="206" t="s">
        <v>7</v>
      </c>
      <c r="D79" s="84">
        <v>2012</v>
      </c>
      <c r="E79" s="189"/>
    </row>
    <row r="80" spans="1:5" x14ac:dyDescent="0.35">
      <c r="A80" s="206" t="s">
        <v>65</v>
      </c>
      <c r="B80" s="207" t="s">
        <v>109</v>
      </c>
      <c r="C80" s="206" t="s">
        <v>7</v>
      </c>
      <c r="D80" s="105">
        <v>45169</v>
      </c>
      <c r="E80" s="190"/>
    </row>
    <row r="81" spans="1:5" hidden="1" x14ac:dyDescent="0.35">
      <c r="A81" s="315" t="s">
        <v>99</v>
      </c>
      <c r="B81" s="315"/>
      <c r="C81" s="315"/>
      <c r="D81" s="315"/>
      <c r="E81" s="153"/>
    </row>
    <row r="82" spans="1:5" ht="16" hidden="1" x14ac:dyDescent="0.35">
      <c r="A82" s="206" t="s">
        <v>68</v>
      </c>
      <c r="B82" s="207" t="s">
        <v>110</v>
      </c>
      <c r="C82" s="206" t="s">
        <v>7</v>
      </c>
      <c r="D82" s="104" t="s">
        <v>116</v>
      </c>
      <c r="E82" s="264"/>
    </row>
    <row r="83" spans="1:5" ht="16" hidden="1" x14ac:dyDescent="0.35">
      <c r="A83" s="206" t="s">
        <v>70</v>
      </c>
      <c r="B83" s="207" t="s">
        <v>112</v>
      </c>
      <c r="C83" s="206" t="s">
        <v>7</v>
      </c>
      <c r="D83" s="104" t="s">
        <v>113</v>
      </c>
      <c r="E83" s="264"/>
    </row>
    <row r="84" spans="1:5" ht="16" hidden="1" x14ac:dyDescent="0.35">
      <c r="A84" s="206" t="s">
        <v>117</v>
      </c>
      <c r="B84" s="207" t="s">
        <v>104</v>
      </c>
      <c r="C84" s="206" t="s">
        <v>7</v>
      </c>
      <c r="D84" s="104" t="s">
        <v>118</v>
      </c>
      <c r="E84" s="264"/>
    </row>
    <row r="85" spans="1:5" ht="16" hidden="1" x14ac:dyDescent="0.35">
      <c r="A85" s="206" t="s">
        <v>119</v>
      </c>
      <c r="B85" s="207" t="s">
        <v>106</v>
      </c>
      <c r="C85" s="206" t="s">
        <v>7</v>
      </c>
      <c r="D85" s="104" t="s">
        <v>120</v>
      </c>
      <c r="E85" s="264"/>
    </row>
    <row r="86" spans="1:5" hidden="1" x14ac:dyDescent="0.35">
      <c r="A86" s="206" t="s">
        <v>121</v>
      </c>
      <c r="B86" s="207" t="s">
        <v>108</v>
      </c>
      <c r="C86" s="206" t="s">
        <v>7</v>
      </c>
      <c r="D86" s="84">
        <v>2009</v>
      </c>
      <c r="E86" s="189"/>
    </row>
    <row r="87" spans="1:5" hidden="1" x14ac:dyDescent="0.35">
      <c r="A87" s="206" t="s">
        <v>122</v>
      </c>
      <c r="B87" s="207" t="s">
        <v>109</v>
      </c>
      <c r="C87" s="206" t="s">
        <v>7</v>
      </c>
      <c r="D87" s="84" t="s">
        <v>123</v>
      </c>
      <c r="E87" s="189"/>
    </row>
    <row r="88" spans="1:5" x14ac:dyDescent="0.35">
      <c r="A88" s="315" t="s">
        <v>124</v>
      </c>
      <c r="B88" s="315"/>
      <c r="C88" s="315"/>
      <c r="D88" s="315"/>
      <c r="E88" s="153"/>
    </row>
    <row r="89" spans="1:5" ht="16" x14ac:dyDescent="0.35">
      <c r="A89" s="206" t="s">
        <v>122</v>
      </c>
      <c r="B89" s="207" t="s">
        <v>125</v>
      </c>
      <c r="C89" s="206" t="s">
        <v>7</v>
      </c>
      <c r="D89" s="104" t="s">
        <v>126</v>
      </c>
      <c r="E89" s="264"/>
    </row>
    <row r="90" spans="1:5" x14ac:dyDescent="0.35">
      <c r="A90" s="315" t="s">
        <v>127</v>
      </c>
      <c r="B90" s="315"/>
      <c r="C90" s="315"/>
      <c r="D90" s="315"/>
      <c r="E90" s="153"/>
    </row>
    <row r="91" spans="1:5" ht="32" x14ac:dyDescent="0.35">
      <c r="A91" s="206" t="s">
        <v>128</v>
      </c>
      <c r="B91" s="207" t="s">
        <v>129</v>
      </c>
      <c r="C91" s="206" t="s">
        <v>7</v>
      </c>
      <c r="D91" s="104" t="s">
        <v>130</v>
      </c>
      <c r="E91" s="264"/>
    </row>
    <row r="92" spans="1:5" x14ac:dyDescent="0.35">
      <c r="A92" s="315" t="s">
        <v>131</v>
      </c>
      <c r="B92" s="315"/>
      <c r="C92" s="315"/>
      <c r="D92" s="315"/>
      <c r="E92" s="153"/>
    </row>
    <row r="93" spans="1:5" ht="16" x14ac:dyDescent="0.35">
      <c r="A93" s="206" t="s">
        <v>132</v>
      </c>
      <c r="B93" s="207" t="s">
        <v>133</v>
      </c>
      <c r="C93" s="206" t="s">
        <v>7</v>
      </c>
      <c r="D93" s="104" t="s">
        <v>134</v>
      </c>
      <c r="E93" s="264"/>
    </row>
    <row r="94" spans="1:5" x14ac:dyDescent="0.35">
      <c r="A94" s="315" t="s">
        <v>135</v>
      </c>
      <c r="B94" s="315"/>
      <c r="C94" s="315"/>
      <c r="D94" s="315"/>
      <c r="E94" s="153"/>
    </row>
    <row r="95" spans="1:5" ht="16" x14ac:dyDescent="0.35">
      <c r="A95" s="206" t="s">
        <v>136</v>
      </c>
      <c r="B95" s="207" t="s">
        <v>137</v>
      </c>
      <c r="C95" s="206" t="s">
        <v>7</v>
      </c>
      <c r="D95" s="104" t="s">
        <v>138</v>
      </c>
      <c r="E95" s="264"/>
    </row>
    <row r="96" spans="1:5" x14ac:dyDescent="0.35">
      <c r="A96" s="315" t="s">
        <v>139</v>
      </c>
      <c r="B96" s="315"/>
      <c r="C96" s="315"/>
      <c r="D96" s="315"/>
    </row>
    <row r="97" spans="1:11" ht="16" x14ac:dyDescent="0.35">
      <c r="A97" s="106" t="s">
        <v>444</v>
      </c>
      <c r="B97" s="91" t="s">
        <v>438</v>
      </c>
      <c r="C97" s="206" t="s">
        <v>7</v>
      </c>
      <c r="D97" s="104" t="str">
        <f>D95</f>
        <v xml:space="preserve">  централизованная </v>
      </c>
    </row>
    <row r="98" spans="1:11" x14ac:dyDescent="0.35">
      <c r="A98" s="315" t="s">
        <v>437</v>
      </c>
      <c r="B98" s="315"/>
      <c r="C98" s="315"/>
      <c r="D98" s="315"/>
    </row>
    <row r="99" spans="1:11" ht="46.5" x14ac:dyDescent="0.35">
      <c r="A99" s="206" t="s">
        <v>448</v>
      </c>
      <c r="B99" s="107" t="s">
        <v>439</v>
      </c>
      <c r="C99" s="206" t="s">
        <v>7</v>
      </c>
      <c r="D99" s="104"/>
    </row>
    <row r="100" spans="1:11" ht="16" x14ac:dyDescent="0.35">
      <c r="A100" s="124"/>
      <c r="B100" s="154"/>
      <c r="C100" s="124"/>
      <c r="D100" s="155"/>
    </row>
    <row r="101" spans="1:11" ht="37" customHeight="1" x14ac:dyDescent="0.35">
      <c r="A101" s="375" t="s">
        <v>345</v>
      </c>
      <c r="B101" s="376"/>
      <c r="C101" s="376"/>
      <c r="D101" s="376"/>
      <c r="E101" s="376"/>
      <c r="F101" s="376"/>
      <c r="G101" s="376"/>
      <c r="H101" s="376"/>
    </row>
    <row r="102" spans="1:11" s="265" customFormat="1" ht="39" customHeight="1" x14ac:dyDescent="0.35">
      <c r="A102" s="212" t="s">
        <v>0</v>
      </c>
      <c r="B102" s="355" t="s">
        <v>391</v>
      </c>
      <c r="C102" s="355" t="s">
        <v>106</v>
      </c>
      <c r="D102" s="213" t="s">
        <v>392</v>
      </c>
      <c r="E102" s="214" t="s">
        <v>393</v>
      </c>
      <c r="F102" s="214"/>
      <c r="G102" s="214" t="s">
        <v>394</v>
      </c>
      <c r="H102" s="214"/>
    </row>
    <row r="103" spans="1:11" s="265" customFormat="1" ht="57.5" x14ac:dyDescent="0.35">
      <c r="A103" s="212"/>
      <c r="B103" s="356"/>
      <c r="C103" s="356"/>
      <c r="D103" s="213" t="s">
        <v>395</v>
      </c>
      <c r="E103" s="213" t="s">
        <v>396</v>
      </c>
      <c r="F103" s="213" t="s">
        <v>397</v>
      </c>
      <c r="G103" s="213" t="s">
        <v>396</v>
      </c>
      <c r="H103" s="213" t="s">
        <v>398</v>
      </c>
    </row>
    <row r="104" spans="1:11" s="268" customFormat="1" ht="28.5" customHeight="1" x14ac:dyDescent="0.35">
      <c r="A104" s="212">
        <v>1</v>
      </c>
      <c r="B104" s="266" t="s">
        <v>399</v>
      </c>
      <c r="C104" s="215" t="s">
        <v>400</v>
      </c>
      <c r="D104" s="267">
        <f>SUM(D105:D110)</f>
        <v>0.53051800000000005</v>
      </c>
      <c r="E104" s="216">
        <v>12648.32</v>
      </c>
      <c r="F104" s="216">
        <f>D104*E104</f>
        <v>6710.1614297600008</v>
      </c>
      <c r="G104" s="216">
        <f>E104</f>
        <v>12648.32</v>
      </c>
      <c r="H104" s="216">
        <f>F104*12</f>
        <v>80521.937157120003</v>
      </c>
    </row>
    <row r="105" spans="1:11" s="265" customFormat="1" ht="22" customHeight="1" x14ac:dyDescent="0.35">
      <c r="A105" s="213"/>
      <c r="B105" s="108" t="s">
        <v>401</v>
      </c>
      <c r="C105" s="214" t="s">
        <v>402</v>
      </c>
      <c r="D105" s="211">
        <f>'[1]МКД К.Беляева 40 Б'!$B$5</f>
        <v>1.0518E-2</v>
      </c>
      <c r="E105" s="65">
        <f t="shared" ref="E105:E110" si="0">E104</f>
        <v>12648.32</v>
      </c>
      <c r="F105" s="65">
        <f>D105*E105</f>
        <v>133.03502975999999</v>
      </c>
      <c r="G105" s="65">
        <f>E105</f>
        <v>12648.32</v>
      </c>
      <c r="H105" s="65">
        <f>F105*12</f>
        <v>1596.4203571199998</v>
      </c>
    </row>
    <row r="106" spans="1:11" s="265" customFormat="1" ht="25.5" customHeight="1" x14ac:dyDescent="0.35">
      <c r="A106" s="213"/>
      <c r="B106" s="108" t="s">
        <v>403</v>
      </c>
      <c r="C106" s="214" t="s">
        <v>402</v>
      </c>
      <c r="D106" s="83">
        <v>0.11</v>
      </c>
      <c r="E106" s="65">
        <f t="shared" si="0"/>
        <v>12648.32</v>
      </c>
      <c r="F106" s="65">
        <f t="shared" ref="F106:F132" si="1">D106*E106</f>
        <v>1391.3152</v>
      </c>
      <c r="G106" s="65">
        <f t="shared" ref="G106:G132" si="2">E106</f>
        <v>12648.32</v>
      </c>
      <c r="H106" s="65">
        <f t="shared" ref="H106:H132" si="3">F106*12</f>
        <v>16695.7824</v>
      </c>
    </row>
    <row r="107" spans="1:11" s="265" customFormat="1" ht="26.5" customHeight="1" x14ac:dyDescent="0.35">
      <c r="A107" s="213"/>
      <c r="B107" s="108" t="s">
        <v>404</v>
      </c>
      <c r="C107" s="214" t="s">
        <v>402</v>
      </c>
      <c r="D107" s="83">
        <v>0.12</v>
      </c>
      <c r="E107" s="65">
        <f t="shared" si="0"/>
        <v>12648.32</v>
      </c>
      <c r="F107" s="65">
        <f t="shared" si="1"/>
        <v>1517.7983999999999</v>
      </c>
      <c r="G107" s="65">
        <f t="shared" si="2"/>
        <v>12648.32</v>
      </c>
      <c r="H107" s="65">
        <f t="shared" si="3"/>
        <v>18213.5808</v>
      </c>
    </row>
    <row r="108" spans="1:11" s="265" customFormat="1" ht="22" customHeight="1" x14ac:dyDescent="0.35">
      <c r="A108" s="213"/>
      <c r="B108" s="108" t="s">
        <v>405</v>
      </c>
      <c r="C108" s="214" t="s">
        <v>402</v>
      </c>
      <c r="D108" s="83">
        <v>0.03</v>
      </c>
      <c r="E108" s="65">
        <f t="shared" si="0"/>
        <v>12648.32</v>
      </c>
      <c r="F108" s="65">
        <f t="shared" si="1"/>
        <v>379.44959999999998</v>
      </c>
      <c r="G108" s="65">
        <f t="shared" si="2"/>
        <v>12648.32</v>
      </c>
      <c r="H108" s="65">
        <f t="shared" si="3"/>
        <v>4553.3951999999999</v>
      </c>
    </row>
    <row r="109" spans="1:11" s="265" customFormat="1" ht="27.5" customHeight="1" x14ac:dyDescent="0.35">
      <c r="A109" s="213"/>
      <c r="B109" s="108" t="s">
        <v>406</v>
      </c>
      <c r="C109" s="214" t="s">
        <v>402</v>
      </c>
      <c r="D109" s="83">
        <v>0.15</v>
      </c>
      <c r="E109" s="65">
        <f t="shared" si="0"/>
        <v>12648.32</v>
      </c>
      <c r="F109" s="65">
        <f t="shared" si="1"/>
        <v>1897.2479999999998</v>
      </c>
      <c r="G109" s="65">
        <f t="shared" si="2"/>
        <v>12648.32</v>
      </c>
      <c r="H109" s="65">
        <f t="shared" si="3"/>
        <v>22766.975999999999</v>
      </c>
    </row>
    <row r="110" spans="1:11" s="265" customFormat="1" ht="35.5" customHeight="1" x14ac:dyDescent="0.35">
      <c r="A110" s="213"/>
      <c r="B110" s="108" t="s">
        <v>407</v>
      </c>
      <c r="C110" s="214" t="s">
        <v>402</v>
      </c>
      <c r="D110" s="83">
        <v>0.11</v>
      </c>
      <c r="E110" s="65">
        <f t="shared" si="0"/>
        <v>12648.32</v>
      </c>
      <c r="F110" s="65">
        <f t="shared" si="1"/>
        <v>1391.3152</v>
      </c>
      <c r="G110" s="65">
        <f t="shared" si="2"/>
        <v>12648.32</v>
      </c>
      <c r="H110" s="65">
        <f t="shared" si="3"/>
        <v>16695.7824</v>
      </c>
    </row>
    <row r="111" spans="1:11" s="268" customFormat="1" ht="36" customHeight="1" x14ac:dyDescent="0.35">
      <c r="A111" s="212" t="s">
        <v>408</v>
      </c>
      <c r="B111" s="266" t="s">
        <v>262</v>
      </c>
      <c r="C111" s="215" t="s">
        <v>402</v>
      </c>
      <c r="D111" s="269">
        <f>SUM(D112:D117)</f>
        <v>6.25</v>
      </c>
      <c r="E111" s="216">
        <f>E104</f>
        <v>12648.32</v>
      </c>
      <c r="F111" s="216">
        <f t="shared" si="1"/>
        <v>79052</v>
      </c>
      <c r="G111" s="216">
        <f t="shared" si="2"/>
        <v>12648.32</v>
      </c>
      <c r="H111" s="216">
        <f t="shared" si="3"/>
        <v>948624</v>
      </c>
      <c r="K111" s="270">
        <f>H111</f>
        <v>948624</v>
      </c>
    </row>
    <row r="112" spans="1:11" s="265" customFormat="1" ht="27.5" customHeight="1" x14ac:dyDescent="0.35">
      <c r="A112" s="213"/>
      <c r="B112" s="108" t="s">
        <v>409</v>
      </c>
      <c r="C112" s="214" t="s">
        <v>402</v>
      </c>
      <c r="D112" s="83">
        <v>0.25</v>
      </c>
      <c r="E112" s="65">
        <f>E110</f>
        <v>12648.32</v>
      </c>
      <c r="F112" s="65">
        <f t="shared" si="1"/>
        <v>3162.08</v>
      </c>
      <c r="G112" s="65">
        <f t="shared" si="2"/>
        <v>12648.32</v>
      </c>
      <c r="H112" s="65">
        <f t="shared" si="3"/>
        <v>37944.959999999999</v>
      </c>
    </row>
    <row r="113" spans="1:13" s="265" customFormat="1" ht="32" customHeight="1" x14ac:dyDescent="0.35">
      <c r="A113" s="213"/>
      <c r="B113" s="108" t="s">
        <v>410</v>
      </c>
      <c r="C113" s="214" t="s">
        <v>402</v>
      </c>
      <c r="D113" s="83">
        <v>1.65</v>
      </c>
      <c r="E113" s="65">
        <f>E112</f>
        <v>12648.32</v>
      </c>
      <c r="F113" s="65">
        <f t="shared" si="1"/>
        <v>20869.727999999999</v>
      </c>
      <c r="G113" s="65">
        <f t="shared" si="2"/>
        <v>12648.32</v>
      </c>
      <c r="H113" s="65">
        <f t="shared" si="3"/>
        <v>250436.73599999998</v>
      </c>
    </row>
    <row r="114" spans="1:13" s="265" customFormat="1" ht="36" customHeight="1" x14ac:dyDescent="0.35">
      <c r="A114" s="213"/>
      <c r="B114" s="108" t="s">
        <v>411</v>
      </c>
      <c r="C114" s="214" t="s">
        <v>402</v>
      </c>
      <c r="D114" s="83">
        <v>0.16</v>
      </c>
      <c r="E114" s="65">
        <f t="shared" ref="E114:E117" si="4">E113</f>
        <v>12648.32</v>
      </c>
      <c r="F114" s="65">
        <f t="shared" si="1"/>
        <v>2023.7311999999999</v>
      </c>
      <c r="G114" s="65">
        <f t="shared" si="2"/>
        <v>12648.32</v>
      </c>
      <c r="H114" s="65">
        <f t="shared" si="3"/>
        <v>24284.774399999998</v>
      </c>
    </row>
    <row r="115" spans="1:13" s="265" customFormat="1" ht="22" customHeight="1" x14ac:dyDescent="0.35">
      <c r="A115" s="213"/>
      <c r="B115" s="108" t="s">
        <v>412</v>
      </c>
      <c r="C115" s="214" t="s">
        <v>402</v>
      </c>
      <c r="D115" s="83">
        <f>1.91-0.56</f>
        <v>1.3499999999999999</v>
      </c>
      <c r="E115" s="65">
        <f t="shared" si="4"/>
        <v>12648.32</v>
      </c>
      <c r="F115" s="65">
        <f t="shared" si="1"/>
        <v>17075.231999999996</v>
      </c>
      <c r="G115" s="65">
        <f t="shared" si="2"/>
        <v>12648.32</v>
      </c>
      <c r="H115" s="65">
        <f t="shared" si="3"/>
        <v>204902.78399999996</v>
      </c>
    </row>
    <row r="116" spans="1:13" s="265" customFormat="1" ht="34" customHeight="1" x14ac:dyDescent="0.35">
      <c r="A116" s="213"/>
      <c r="B116" s="108" t="s">
        <v>413</v>
      </c>
      <c r="C116" s="214" t="s">
        <v>402</v>
      </c>
      <c r="D116" s="83">
        <v>1.47</v>
      </c>
      <c r="E116" s="65">
        <f t="shared" si="4"/>
        <v>12648.32</v>
      </c>
      <c r="F116" s="65">
        <f t="shared" si="1"/>
        <v>18593.0304</v>
      </c>
      <c r="G116" s="65">
        <f t="shared" si="2"/>
        <v>12648.32</v>
      </c>
      <c r="H116" s="65">
        <f t="shared" si="3"/>
        <v>223116.36479999998</v>
      </c>
    </row>
    <row r="117" spans="1:13" s="265" customFormat="1" ht="38.5" customHeight="1" x14ac:dyDescent="0.35">
      <c r="A117" s="213"/>
      <c r="B117" s="108" t="s">
        <v>414</v>
      </c>
      <c r="C117" s="214" t="s">
        <v>402</v>
      </c>
      <c r="D117" s="83">
        <v>1.37</v>
      </c>
      <c r="E117" s="65">
        <f t="shared" si="4"/>
        <v>12648.32</v>
      </c>
      <c r="F117" s="65">
        <f t="shared" si="1"/>
        <v>17328.198400000001</v>
      </c>
      <c r="G117" s="65">
        <f t="shared" si="2"/>
        <v>12648.32</v>
      </c>
      <c r="H117" s="65">
        <f t="shared" si="3"/>
        <v>207938.38080000001</v>
      </c>
    </row>
    <row r="118" spans="1:13" s="268" customFormat="1" ht="28.5" customHeight="1" x14ac:dyDescent="0.35">
      <c r="A118" s="212"/>
      <c r="B118" s="266" t="s">
        <v>415</v>
      </c>
      <c r="C118" s="215" t="s">
        <v>402</v>
      </c>
      <c r="D118" s="269">
        <f>SUM(D119:D127)</f>
        <v>6.61</v>
      </c>
      <c r="E118" s="216">
        <f>E111</f>
        <v>12648.32</v>
      </c>
      <c r="F118" s="216">
        <f t="shared" si="1"/>
        <v>83605.395199999999</v>
      </c>
      <c r="G118" s="216">
        <f t="shared" si="2"/>
        <v>12648.32</v>
      </c>
      <c r="H118" s="216">
        <f t="shared" si="3"/>
        <v>1003264.7424</v>
      </c>
      <c r="K118" s="270">
        <f>H118</f>
        <v>1003264.7424</v>
      </c>
    </row>
    <row r="119" spans="1:13" s="265" customFormat="1" ht="24" customHeight="1" x14ac:dyDescent="0.35">
      <c r="A119" s="213"/>
      <c r="B119" s="108" t="s">
        <v>416</v>
      </c>
      <c r="C119" s="214" t="s">
        <v>402</v>
      </c>
      <c r="D119" s="83">
        <v>0.55000000000000004</v>
      </c>
      <c r="E119" s="65">
        <f>E117</f>
        <v>12648.32</v>
      </c>
      <c r="F119" s="65">
        <f t="shared" si="1"/>
        <v>6956.576</v>
      </c>
      <c r="G119" s="65">
        <f t="shared" si="2"/>
        <v>12648.32</v>
      </c>
      <c r="H119" s="65">
        <f t="shared" si="3"/>
        <v>83478.911999999997</v>
      </c>
    </row>
    <row r="120" spans="1:13" s="265" customFormat="1" ht="37" customHeight="1" x14ac:dyDescent="0.35">
      <c r="A120" s="213"/>
      <c r="B120" s="108" t="s">
        <v>417</v>
      </c>
      <c r="C120" s="214" t="s">
        <v>402</v>
      </c>
      <c r="D120" s="83">
        <f>1.2+0.55</f>
        <v>1.75</v>
      </c>
      <c r="E120" s="65">
        <f t="shared" ref="E120:E127" si="5">E119</f>
        <v>12648.32</v>
      </c>
      <c r="F120" s="65">
        <f t="shared" si="1"/>
        <v>22134.559999999998</v>
      </c>
      <c r="G120" s="65">
        <f t="shared" si="2"/>
        <v>12648.32</v>
      </c>
      <c r="H120" s="65">
        <f t="shared" si="3"/>
        <v>265614.71999999997</v>
      </c>
    </row>
    <row r="121" spans="1:13" s="265" customFormat="1" ht="22" customHeight="1" x14ac:dyDescent="0.35">
      <c r="A121" s="213"/>
      <c r="B121" s="108" t="s">
        <v>418</v>
      </c>
      <c r="C121" s="214" t="s">
        <v>402</v>
      </c>
      <c r="D121" s="271">
        <v>3.74</v>
      </c>
      <c r="E121" s="65">
        <f t="shared" si="5"/>
        <v>12648.32</v>
      </c>
      <c r="F121" s="65">
        <f t="shared" si="1"/>
        <v>47304.716800000002</v>
      </c>
      <c r="G121" s="65">
        <f t="shared" si="2"/>
        <v>12648.32</v>
      </c>
      <c r="H121" s="65">
        <f t="shared" si="3"/>
        <v>567656.60160000005</v>
      </c>
    </row>
    <row r="122" spans="1:13" s="265" customFormat="1" ht="38.5" customHeight="1" x14ac:dyDescent="0.35">
      <c r="A122" s="213"/>
      <c r="B122" s="108" t="s">
        <v>419</v>
      </c>
      <c r="C122" s="214" t="s">
        <v>402</v>
      </c>
      <c r="D122" s="83">
        <f>0.06+0.01</f>
        <v>6.9999999999999993E-2</v>
      </c>
      <c r="E122" s="65">
        <f t="shared" si="5"/>
        <v>12648.32</v>
      </c>
      <c r="F122" s="65">
        <f t="shared" si="1"/>
        <v>885.38239999999985</v>
      </c>
      <c r="G122" s="65">
        <f t="shared" si="2"/>
        <v>12648.32</v>
      </c>
      <c r="H122" s="65">
        <f t="shared" si="3"/>
        <v>10624.588799999998</v>
      </c>
    </row>
    <row r="123" spans="1:13" s="265" customFormat="1" ht="22" hidden="1" customHeight="1" x14ac:dyDescent="0.35">
      <c r="A123" s="213"/>
      <c r="B123" s="108" t="s">
        <v>420</v>
      </c>
      <c r="C123" s="214" t="s">
        <v>402</v>
      </c>
      <c r="D123" s="83"/>
      <c r="E123" s="65">
        <f t="shared" si="5"/>
        <v>12648.32</v>
      </c>
      <c r="F123" s="65">
        <f t="shared" si="1"/>
        <v>0</v>
      </c>
      <c r="G123" s="65">
        <f t="shared" si="2"/>
        <v>12648.32</v>
      </c>
      <c r="H123" s="65">
        <f t="shared" si="3"/>
        <v>0</v>
      </c>
    </row>
    <row r="124" spans="1:13" s="265" customFormat="1" ht="22" customHeight="1" x14ac:dyDescent="0.35">
      <c r="A124" s="213"/>
      <c r="B124" s="108" t="s">
        <v>421</v>
      </c>
      <c r="C124" s="214"/>
      <c r="D124" s="83">
        <v>0.04</v>
      </c>
      <c r="E124" s="65">
        <f t="shared" si="5"/>
        <v>12648.32</v>
      </c>
      <c r="F124" s="65">
        <f t="shared" si="1"/>
        <v>505.93279999999999</v>
      </c>
      <c r="G124" s="65">
        <f t="shared" si="2"/>
        <v>12648.32</v>
      </c>
      <c r="H124" s="65">
        <f t="shared" si="3"/>
        <v>6071.1935999999996</v>
      </c>
    </row>
    <row r="125" spans="1:13" s="265" customFormat="1" ht="26.5" customHeight="1" x14ac:dyDescent="0.35">
      <c r="A125" s="213"/>
      <c r="B125" s="108" t="s">
        <v>422</v>
      </c>
      <c r="C125" s="214" t="s">
        <v>402</v>
      </c>
      <c r="D125" s="83">
        <v>0.05</v>
      </c>
      <c r="E125" s="65">
        <f t="shared" si="5"/>
        <v>12648.32</v>
      </c>
      <c r="F125" s="65">
        <f t="shared" si="1"/>
        <v>632.41600000000005</v>
      </c>
      <c r="G125" s="65">
        <f t="shared" si="2"/>
        <v>12648.32</v>
      </c>
      <c r="H125" s="65">
        <f t="shared" si="3"/>
        <v>7588.9920000000002</v>
      </c>
    </row>
    <row r="126" spans="1:13" s="265" customFormat="1" ht="15.5" customHeight="1" x14ac:dyDescent="0.35">
      <c r="A126" s="212" t="s">
        <v>449</v>
      </c>
      <c r="B126" s="108" t="s">
        <v>423</v>
      </c>
      <c r="C126" s="215" t="s">
        <v>402</v>
      </c>
      <c r="D126" s="83">
        <v>0.36</v>
      </c>
      <c r="E126" s="65">
        <f t="shared" si="5"/>
        <v>12648.32</v>
      </c>
      <c r="F126" s="65">
        <f t="shared" si="1"/>
        <v>4553.3951999999999</v>
      </c>
      <c r="G126" s="65">
        <f t="shared" si="2"/>
        <v>12648.32</v>
      </c>
      <c r="H126" s="65">
        <f t="shared" si="3"/>
        <v>54640.742400000003</v>
      </c>
    </row>
    <row r="127" spans="1:13" s="265" customFormat="1" ht="51" customHeight="1" x14ac:dyDescent="0.35">
      <c r="A127" s="272"/>
      <c r="B127" s="108" t="s">
        <v>305</v>
      </c>
      <c r="C127" s="215" t="s">
        <v>402</v>
      </c>
      <c r="D127" s="83">
        <v>0.05</v>
      </c>
      <c r="E127" s="65">
        <f t="shared" si="5"/>
        <v>12648.32</v>
      </c>
      <c r="F127" s="65">
        <f t="shared" si="1"/>
        <v>632.41600000000005</v>
      </c>
      <c r="G127" s="65">
        <f t="shared" si="2"/>
        <v>12648.32</v>
      </c>
      <c r="H127" s="65">
        <f t="shared" si="3"/>
        <v>7588.9920000000002</v>
      </c>
    </row>
    <row r="128" spans="1:13" s="268" customFormat="1" ht="48" x14ac:dyDescent="0.35">
      <c r="A128" s="273"/>
      <c r="B128" s="266" t="s">
        <v>424</v>
      </c>
      <c r="C128" s="215" t="s">
        <v>402</v>
      </c>
      <c r="D128" s="267">
        <f>D129+D130</f>
        <v>2.12</v>
      </c>
      <c r="E128" s="216">
        <f>E118</f>
        <v>12648.32</v>
      </c>
      <c r="F128" s="216">
        <f t="shared" si="1"/>
        <v>26814.438399999999</v>
      </c>
      <c r="G128" s="216">
        <f t="shared" si="2"/>
        <v>12648.32</v>
      </c>
      <c r="H128" s="216">
        <f t="shared" si="3"/>
        <v>321773.26079999999</v>
      </c>
      <c r="K128" s="270">
        <f>H128</f>
        <v>321773.26079999999</v>
      </c>
      <c r="M128" s="270">
        <f>K128+K118+K111</f>
        <v>2273662.0032000002</v>
      </c>
    </row>
    <row r="129" spans="1:14" s="265" customFormat="1" ht="108" x14ac:dyDescent="0.35">
      <c r="A129" s="272"/>
      <c r="B129" s="108" t="s">
        <v>425</v>
      </c>
      <c r="C129" s="215" t="s">
        <v>402</v>
      </c>
      <c r="D129" s="211">
        <f>2.16-0.55</f>
        <v>1.61</v>
      </c>
      <c r="E129" s="65">
        <f>E127</f>
        <v>12648.32</v>
      </c>
      <c r="F129" s="65">
        <f t="shared" si="1"/>
        <v>20363.7952</v>
      </c>
      <c r="G129" s="65">
        <f t="shared" si="2"/>
        <v>12648.32</v>
      </c>
      <c r="H129" s="65">
        <f t="shared" si="3"/>
        <v>244365.54240000001</v>
      </c>
    </row>
    <row r="130" spans="1:14" s="265" customFormat="1" ht="72" customHeight="1" x14ac:dyDescent="0.35">
      <c r="A130" s="272"/>
      <c r="B130" s="108" t="s">
        <v>426</v>
      </c>
      <c r="C130" s="215" t="s">
        <v>402</v>
      </c>
      <c r="D130" s="211">
        <v>0.51</v>
      </c>
      <c r="E130" s="65">
        <f>E129</f>
        <v>12648.32</v>
      </c>
      <c r="F130" s="65">
        <f t="shared" si="1"/>
        <v>6450.6431999999995</v>
      </c>
      <c r="G130" s="65">
        <f t="shared" si="2"/>
        <v>12648.32</v>
      </c>
      <c r="H130" s="65">
        <f t="shared" si="3"/>
        <v>77407.718399999998</v>
      </c>
    </row>
    <row r="131" spans="1:14" s="265" customFormat="1" ht="24" x14ac:dyDescent="0.35">
      <c r="A131" s="272"/>
      <c r="B131" s="266" t="s">
        <v>265</v>
      </c>
      <c r="C131" s="215" t="s">
        <v>402</v>
      </c>
      <c r="D131" s="267">
        <f>2.39+3.18</f>
        <v>5.57</v>
      </c>
      <c r="E131" s="216">
        <f>E128</f>
        <v>12648.32</v>
      </c>
      <c r="F131" s="216">
        <f t="shared" si="1"/>
        <v>70451.142399999997</v>
      </c>
      <c r="G131" s="216">
        <f t="shared" si="2"/>
        <v>12648.32</v>
      </c>
      <c r="H131" s="216">
        <f>F131*12</f>
        <v>845413.70879999991</v>
      </c>
      <c r="I131" s="279">
        <f>H104+M128+H131+H132</f>
        <v>3878053.53395712</v>
      </c>
    </row>
    <row r="132" spans="1:14" s="265" customFormat="1" x14ac:dyDescent="0.35">
      <c r="A132" s="272"/>
      <c r="B132" s="266" t="s">
        <v>427</v>
      </c>
      <c r="C132" s="215" t="s">
        <v>402</v>
      </c>
      <c r="D132" s="269">
        <v>4.47</v>
      </c>
      <c r="E132" s="216">
        <f>E131</f>
        <v>12648.32</v>
      </c>
      <c r="F132" s="216">
        <f t="shared" si="1"/>
        <v>56537.990399999995</v>
      </c>
      <c r="G132" s="216">
        <f t="shared" si="2"/>
        <v>12648.32</v>
      </c>
      <c r="H132" s="216">
        <f t="shared" si="3"/>
        <v>678455.88479999988</v>
      </c>
    </row>
    <row r="133" spans="1:14" x14ac:dyDescent="0.35">
      <c r="A133" s="102" t="s">
        <v>0</v>
      </c>
      <c r="B133" s="330" t="s">
        <v>2</v>
      </c>
      <c r="C133" s="330" t="s">
        <v>3</v>
      </c>
      <c r="D133" s="316" t="s">
        <v>4</v>
      </c>
      <c r="E133" s="316"/>
      <c r="F133" s="316"/>
      <c r="G133" s="316"/>
      <c r="H133" s="316"/>
    </row>
    <row r="134" spans="1:14" x14ac:dyDescent="0.35">
      <c r="A134" s="200" t="s">
        <v>1</v>
      </c>
      <c r="B134" s="330"/>
      <c r="C134" s="330"/>
      <c r="D134" s="316"/>
      <c r="E134" s="316"/>
      <c r="F134" s="316"/>
      <c r="G134" s="316"/>
      <c r="H134" s="316"/>
    </row>
    <row r="135" spans="1:14" ht="24.5" customHeight="1" x14ac:dyDescent="0.35">
      <c r="A135" s="206">
        <v>1</v>
      </c>
      <c r="B135" s="84" t="s">
        <v>302</v>
      </c>
      <c r="C135" s="206" t="s">
        <v>298</v>
      </c>
      <c r="D135" s="311">
        <v>4.47</v>
      </c>
      <c r="E135" s="311"/>
      <c r="F135" s="311"/>
      <c r="G135" s="311"/>
      <c r="H135" s="311"/>
      <c r="K135" s="57">
        <v>13438.42</v>
      </c>
      <c r="M135" s="57">
        <f>K135*D135</f>
        <v>60069.737399999998</v>
      </c>
      <c r="N135" s="57">
        <f>M135*12</f>
        <v>720836.84880000004</v>
      </c>
    </row>
    <row r="136" spans="1:14" x14ac:dyDescent="0.35">
      <c r="A136" s="206">
        <v>2</v>
      </c>
      <c r="B136" s="207" t="s">
        <v>430</v>
      </c>
      <c r="C136" s="206" t="s">
        <v>143</v>
      </c>
      <c r="D136" s="311">
        <f>[13]Лист_1!$AU$407</f>
        <v>704517.18461448129</v>
      </c>
      <c r="E136" s="311"/>
      <c r="F136" s="311"/>
      <c r="G136" s="311"/>
      <c r="H136" s="311"/>
    </row>
    <row r="137" spans="1:14" x14ac:dyDescent="0.35">
      <c r="A137" s="206">
        <v>3</v>
      </c>
      <c r="B137" s="207" t="s">
        <v>258</v>
      </c>
      <c r="C137" s="206" t="s">
        <v>7</v>
      </c>
      <c r="D137" s="311" t="s">
        <v>304</v>
      </c>
      <c r="E137" s="311"/>
      <c r="F137" s="311"/>
      <c r="G137" s="311"/>
      <c r="H137" s="311"/>
    </row>
    <row r="138" spans="1:14" x14ac:dyDescent="0.35">
      <c r="A138" s="206">
        <v>4</v>
      </c>
      <c r="B138" s="210" t="s">
        <v>350</v>
      </c>
      <c r="C138" s="206"/>
      <c r="D138" s="311">
        <f>'[4]К. Беляева 40В'!$D$84</f>
        <v>850432.22249999992</v>
      </c>
      <c r="E138" s="311"/>
      <c r="F138" s="311"/>
      <c r="G138" s="311"/>
      <c r="H138" s="311"/>
    </row>
    <row r="139" spans="1:14" x14ac:dyDescent="0.35">
      <c r="A139" s="206">
        <v>5</v>
      </c>
      <c r="B139" s="210" t="s">
        <v>500</v>
      </c>
      <c r="C139" s="206"/>
      <c r="D139" s="311">
        <f>'[4]К. Беляева 40В'!$D$85</f>
        <v>-219064.7378855187</v>
      </c>
      <c r="E139" s="311"/>
      <c r="F139" s="311"/>
      <c r="G139" s="311"/>
      <c r="H139" s="311"/>
    </row>
    <row r="140" spans="1:14" x14ac:dyDescent="0.35">
      <c r="A140" s="206">
        <v>6</v>
      </c>
      <c r="B140" s="207" t="s">
        <v>148</v>
      </c>
      <c r="C140" s="206" t="s">
        <v>7</v>
      </c>
      <c r="D140" s="311" t="s">
        <v>273</v>
      </c>
      <c r="E140" s="311"/>
      <c r="F140" s="311"/>
      <c r="G140" s="311"/>
      <c r="H140" s="311"/>
    </row>
    <row r="141" spans="1:14" ht="15.5" hidden="1" customHeight="1" x14ac:dyDescent="0.35">
      <c r="A141" s="102" t="s">
        <v>0</v>
      </c>
      <c r="B141" s="330" t="s">
        <v>2</v>
      </c>
      <c r="C141" s="330" t="s">
        <v>3</v>
      </c>
      <c r="D141" s="311" t="s">
        <v>4</v>
      </c>
      <c r="E141" s="311"/>
      <c r="F141" s="311"/>
      <c r="G141" s="311"/>
      <c r="H141" s="311"/>
    </row>
    <row r="142" spans="1:14" ht="15.5" hidden="1" customHeight="1" x14ac:dyDescent="0.35">
      <c r="A142" s="200" t="s">
        <v>1</v>
      </c>
      <c r="B142" s="330"/>
      <c r="C142" s="330"/>
      <c r="D142" s="311"/>
      <c r="E142" s="311"/>
      <c r="F142" s="311"/>
      <c r="G142" s="311"/>
      <c r="H142" s="311"/>
    </row>
    <row r="143" spans="1:14" ht="41" hidden="1" customHeight="1" x14ac:dyDescent="0.35">
      <c r="A143" s="206">
        <v>1</v>
      </c>
      <c r="B143" s="84" t="s">
        <v>265</v>
      </c>
      <c r="C143" s="206" t="s">
        <v>7</v>
      </c>
      <c r="D143" s="311">
        <f>[2]КБ40Б!$B$31</f>
        <v>5.0200000000000005</v>
      </c>
      <c r="E143" s="311">
        <f>D143</f>
        <v>5.0200000000000005</v>
      </c>
      <c r="F143" s="311"/>
      <c r="G143" s="311"/>
      <c r="H143" s="311"/>
      <c r="K143" s="57">
        <v>13438.42</v>
      </c>
      <c r="M143" s="57">
        <f>K143*D143</f>
        <v>67460.868400000007</v>
      </c>
      <c r="N143" s="57">
        <f>M143*12</f>
        <v>809530.42080000008</v>
      </c>
    </row>
    <row r="144" spans="1:14" ht="16" hidden="1" customHeight="1" x14ac:dyDescent="0.35">
      <c r="A144" s="206">
        <v>2</v>
      </c>
      <c r="B144" s="207" t="s">
        <v>142</v>
      </c>
      <c r="C144" s="206" t="s">
        <v>143</v>
      </c>
      <c r="D144" s="311">
        <f>[2]КБ40Б!$G$31</f>
        <v>851464.09659744019</v>
      </c>
      <c r="E144" s="311"/>
      <c r="F144" s="311">
        <f>D144</f>
        <v>851464.09659744019</v>
      </c>
      <c r="G144" s="311"/>
      <c r="H144" s="311"/>
    </row>
    <row r="145" spans="1:15" ht="39" hidden="1" customHeight="1" x14ac:dyDescent="0.35">
      <c r="A145" s="206">
        <v>3</v>
      </c>
      <c r="B145" s="207" t="s">
        <v>258</v>
      </c>
      <c r="C145" s="206" t="s">
        <v>7</v>
      </c>
      <c r="D145" s="311" t="s">
        <v>324</v>
      </c>
      <c r="E145" s="311">
        <f>SUM(E64:E144)</f>
        <v>366806.30000000016</v>
      </c>
      <c r="F145" s="311">
        <f>SUM(F64:F144)</f>
        <v>1370817.2194569602</v>
      </c>
      <c r="G145" s="311"/>
      <c r="H145" s="311"/>
    </row>
    <row r="146" spans="1:15" ht="16" hidden="1" customHeight="1" x14ac:dyDescent="0.35">
      <c r="A146" s="206">
        <v>4</v>
      </c>
      <c r="B146" s="207" t="s">
        <v>148</v>
      </c>
      <c r="C146" s="206" t="s">
        <v>7</v>
      </c>
      <c r="D146" s="311" t="s">
        <v>155</v>
      </c>
      <c r="E146" s="311"/>
      <c r="F146" s="311"/>
      <c r="G146" s="311"/>
      <c r="H146" s="311"/>
    </row>
    <row r="147" spans="1:15" x14ac:dyDescent="0.35">
      <c r="A147" s="102" t="s">
        <v>0</v>
      </c>
      <c r="B147" s="330" t="s">
        <v>2</v>
      </c>
      <c r="C147" s="330" t="s">
        <v>3</v>
      </c>
      <c r="D147" s="311" t="s">
        <v>4</v>
      </c>
      <c r="E147" s="311"/>
      <c r="F147" s="311"/>
      <c r="G147" s="311"/>
      <c r="H147" s="311"/>
    </row>
    <row r="148" spans="1:15" x14ac:dyDescent="0.35">
      <c r="A148" s="200" t="s">
        <v>1</v>
      </c>
      <c r="B148" s="330"/>
      <c r="C148" s="330"/>
      <c r="D148" s="311"/>
      <c r="E148" s="311"/>
      <c r="F148" s="311"/>
      <c r="G148" s="311"/>
      <c r="H148" s="311"/>
    </row>
    <row r="149" spans="1:15" ht="19.5" customHeight="1" x14ac:dyDescent="0.35">
      <c r="A149" s="206">
        <v>1</v>
      </c>
      <c r="B149" s="84" t="s">
        <v>271</v>
      </c>
      <c r="C149" s="206" t="s">
        <v>7</v>
      </c>
      <c r="D149" s="311">
        <v>12.26</v>
      </c>
      <c r="E149" s="311"/>
      <c r="F149" s="311"/>
      <c r="G149" s="311"/>
      <c r="H149" s="311"/>
      <c r="K149" s="57">
        <v>13438.42</v>
      </c>
      <c r="M149" s="57">
        <f>K149*D149</f>
        <v>164755.02919999999</v>
      </c>
      <c r="N149" s="57">
        <f>M149*12</f>
        <v>1977060.3503999999</v>
      </c>
    </row>
    <row r="150" spans="1:15" x14ac:dyDescent="0.35">
      <c r="A150" s="206">
        <v>2</v>
      </c>
      <c r="B150" s="207" t="s">
        <v>142</v>
      </c>
      <c r="C150" s="206" t="s">
        <v>143</v>
      </c>
      <c r="D150" s="310">
        <f>[13]Лист_1!$AO$404</f>
        <v>1932497</v>
      </c>
      <c r="E150" s="311"/>
      <c r="F150" s="311"/>
      <c r="G150" s="311"/>
      <c r="H150" s="311"/>
      <c r="N150" s="57">
        <v>1988010.53</v>
      </c>
      <c r="O150" s="57" t="s">
        <v>325</v>
      </c>
    </row>
    <row r="151" spans="1:15" x14ac:dyDescent="0.35">
      <c r="A151" s="206">
        <v>3</v>
      </c>
      <c r="B151" s="207" t="s">
        <v>258</v>
      </c>
      <c r="C151" s="206" t="s">
        <v>7</v>
      </c>
      <c r="D151" s="311" t="s">
        <v>352</v>
      </c>
      <c r="E151" s="311"/>
      <c r="F151" s="311"/>
      <c r="G151" s="311"/>
      <c r="H151" s="311"/>
      <c r="N151" s="57">
        <f>N150-N149</f>
        <v>10950.179600000149</v>
      </c>
    </row>
    <row r="152" spans="1:15" x14ac:dyDescent="0.35">
      <c r="A152" s="206">
        <v>4</v>
      </c>
      <c r="B152" s="207" t="s">
        <v>148</v>
      </c>
      <c r="C152" s="206" t="s">
        <v>7</v>
      </c>
      <c r="D152" s="311" t="s">
        <v>155</v>
      </c>
      <c r="E152" s="311"/>
      <c r="F152" s="311"/>
      <c r="G152" s="311"/>
      <c r="H152" s="311"/>
    </row>
    <row r="153" spans="1:15" hidden="1" x14ac:dyDescent="0.35">
      <c r="A153" s="102" t="s">
        <v>0</v>
      </c>
      <c r="B153" s="330" t="s">
        <v>2</v>
      </c>
      <c r="C153" s="330" t="s">
        <v>3</v>
      </c>
      <c r="D153" s="311" t="s">
        <v>4</v>
      </c>
      <c r="E153" s="311"/>
      <c r="F153" s="311"/>
      <c r="G153" s="311"/>
      <c r="H153" s="311"/>
    </row>
    <row r="154" spans="1:15" hidden="1" x14ac:dyDescent="0.35">
      <c r="A154" s="200" t="s">
        <v>1</v>
      </c>
      <c r="B154" s="330"/>
      <c r="C154" s="330"/>
      <c r="D154" s="311"/>
      <c r="E154" s="311"/>
      <c r="F154" s="311"/>
      <c r="G154" s="311"/>
      <c r="H154" s="311"/>
    </row>
    <row r="155" spans="1:15" ht="38" hidden="1" customHeight="1" x14ac:dyDescent="0.35">
      <c r="A155" s="206">
        <v>1</v>
      </c>
      <c r="B155" s="84" t="str">
        <f>[5]Лист_1!$N$7</f>
        <v>Доп.усл.по оформл.платеж.док-в на опл. взнос. на кап.ремонт</v>
      </c>
      <c r="C155" s="206" t="s">
        <v>297</v>
      </c>
      <c r="D155" s="311">
        <v>6</v>
      </c>
      <c r="E155" s="311"/>
      <c r="F155" s="311"/>
      <c r="G155" s="311"/>
      <c r="H155" s="311"/>
      <c r="K155" s="57">
        <f>D155*192</f>
        <v>1152</v>
      </c>
      <c r="L155" s="57">
        <f>K155*12</f>
        <v>13824</v>
      </c>
    </row>
    <row r="156" spans="1:15" hidden="1" x14ac:dyDescent="0.35">
      <c r="A156" s="206">
        <v>2</v>
      </c>
      <c r="B156" s="207" t="s">
        <v>142</v>
      </c>
      <c r="C156" s="206" t="s">
        <v>143</v>
      </c>
      <c r="D156" s="310">
        <f>[13]Лист_1!$AP$404</f>
        <v>135418.95000000001</v>
      </c>
      <c r="E156" s="311"/>
      <c r="F156" s="311"/>
      <c r="G156" s="311"/>
      <c r="H156" s="311"/>
    </row>
    <row r="157" spans="1:15" hidden="1" x14ac:dyDescent="0.35">
      <c r="A157" s="206">
        <v>3</v>
      </c>
      <c r="B157" s="207" t="s">
        <v>258</v>
      </c>
      <c r="C157" s="206" t="s">
        <v>7</v>
      </c>
      <c r="D157" s="311" t="s">
        <v>272</v>
      </c>
      <c r="E157" s="311"/>
      <c r="F157" s="311"/>
      <c r="G157" s="311"/>
      <c r="H157" s="311"/>
    </row>
    <row r="158" spans="1:15" hidden="1" x14ac:dyDescent="0.35">
      <c r="A158" s="206">
        <v>4</v>
      </c>
      <c r="B158" s="207" t="s">
        <v>148</v>
      </c>
      <c r="C158" s="206" t="s">
        <v>7</v>
      </c>
      <c r="D158" s="311" t="s">
        <v>155</v>
      </c>
      <c r="E158" s="311"/>
      <c r="F158" s="311"/>
      <c r="G158" s="311"/>
      <c r="H158" s="311"/>
    </row>
    <row r="159" spans="1:15" x14ac:dyDescent="0.35">
      <c r="A159" s="102" t="s">
        <v>0</v>
      </c>
      <c r="B159" s="330" t="s">
        <v>2</v>
      </c>
      <c r="C159" s="330" t="s">
        <v>3</v>
      </c>
      <c r="D159" s="388" t="s">
        <v>4</v>
      </c>
      <c r="E159" s="389"/>
      <c r="F159" s="389"/>
      <c r="G159" s="389"/>
      <c r="H159" s="390"/>
    </row>
    <row r="160" spans="1:15" x14ac:dyDescent="0.35">
      <c r="A160" s="200" t="s">
        <v>1</v>
      </c>
      <c r="B160" s="330"/>
      <c r="C160" s="330"/>
      <c r="D160" s="391"/>
      <c r="E160" s="392"/>
      <c r="F160" s="392"/>
      <c r="G160" s="392"/>
      <c r="H160" s="393"/>
    </row>
    <row r="161" spans="1:16" ht="38" customHeight="1" x14ac:dyDescent="0.35">
      <c r="A161" s="206">
        <v>1</v>
      </c>
      <c r="B161" s="84" t="str">
        <f>[5]Лист_1!$U$7</f>
        <v>Сод. тер. транспорта</v>
      </c>
      <c r="C161" s="206" t="s">
        <v>298</v>
      </c>
      <c r="D161" s="311">
        <v>900</v>
      </c>
      <c r="E161" s="311"/>
      <c r="F161" s="311"/>
      <c r="G161" s="311"/>
      <c r="H161" s="311"/>
      <c r="J161" s="57" t="e">
        <f>0.55*#REF!</f>
        <v>#REF!</v>
      </c>
      <c r="K161" s="57" t="e">
        <f>J161*12</f>
        <v>#REF!</v>
      </c>
    </row>
    <row r="162" spans="1:16" x14ac:dyDescent="0.35">
      <c r="A162" s="206">
        <v>2</v>
      </c>
      <c r="B162" s="207" t="s">
        <v>142</v>
      </c>
      <c r="C162" s="206" t="s">
        <v>143</v>
      </c>
      <c r="D162" s="310">
        <f>[13]Лист_1!$T$404</f>
        <v>385707.02</v>
      </c>
      <c r="E162" s="311"/>
      <c r="F162" s="311"/>
      <c r="G162" s="311"/>
      <c r="H162" s="311"/>
      <c r="K162" s="57">
        <f>D161*50*12</f>
        <v>540000</v>
      </c>
      <c r="L162" s="57">
        <f>K162/900</f>
        <v>600</v>
      </c>
      <c r="N162" s="58">
        <f>[3]Лист_1!$S$400</f>
        <v>542700</v>
      </c>
      <c r="O162" s="57">
        <f>N162/12</f>
        <v>45225</v>
      </c>
      <c r="P162" s="57">
        <f>O162/900</f>
        <v>50.25</v>
      </c>
    </row>
    <row r="163" spans="1:16" x14ac:dyDescent="0.35">
      <c r="A163" s="206">
        <v>3</v>
      </c>
      <c r="B163" s="207" t="s">
        <v>258</v>
      </c>
      <c r="C163" s="206" t="s">
        <v>7</v>
      </c>
      <c r="D163" s="311" t="s">
        <v>326</v>
      </c>
      <c r="E163" s="311"/>
      <c r="F163" s="311"/>
      <c r="G163" s="311"/>
      <c r="H163" s="311"/>
    </row>
    <row r="164" spans="1:16" x14ac:dyDescent="0.35">
      <c r="A164" s="206">
        <v>4</v>
      </c>
      <c r="B164" s="207" t="s">
        <v>377</v>
      </c>
      <c r="C164" s="206" t="str">
        <f>C162</f>
        <v>Руб.</v>
      </c>
      <c r="D164" s="310">
        <f>'[6]факт 2025г'!$K$20</f>
        <v>506994.44165607478</v>
      </c>
      <c r="E164" s="311"/>
      <c r="F164" s="311"/>
      <c r="G164" s="311"/>
      <c r="H164" s="311"/>
      <c r="J164" s="57" t="s">
        <v>379</v>
      </c>
    </row>
    <row r="165" spans="1:16" x14ac:dyDescent="0.35">
      <c r="A165" s="206">
        <v>6</v>
      </c>
      <c r="B165" s="207" t="s">
        <v>148</v>
      </c>
      <c r="C165" s="206" t="s">
        <v>7</v>
      </c>
      <c r="D165" s="311" t="s">
        <v>378</v>
      </c>
      <c r="E165" s="311"/>
      <c r="F165" s="311"/>
      <c r="G165" s="311"/>
      <c r="H165" s="311"/>
    </row>
    <row r="166" spans="1:16" x14ac:dyDescent="0.35">
      <c r="A166" s="385" t="s">
        <v>266</v>
      </c>
      <c r="B166" s="386"/>
      <c r="C166" s="386"/>
      <c r="D166" s="386"/>
      <c r="E166" s="386"/>
      <c r="F166" s="386"/>
      <c r="G166" s="386"/>
      <c r="H166" s="387"/>
    </row>
    <row r="167" spans="1:16" x14ac:dyDescent="0.35">
      <c r="A167" s="102" t="s">
        <v>0</v>
      </c>
      <c r="B167" s="200" t="s">
        <v>2</v>
      </c>
      <c r="C167" s="200" t="s">
        <v>3</v>
      </c>
      <c r="D167" s="311" t="s">
        <v>4</v>
      </c>
      <c r="E167" s="311"/>
      <c r="F167" s="311"/>
      <c r="G167" s="311"/>
      <c r="H167" s="311"/>
    </row>
    <row r="168" spans="1:16" x14ac:dyDescent="0.35">
      <c r="A168" s="200" t="s">
        <v>1</v>
      </c>
      <c r="B168" s="129"/>
      <c r="C168" s="129"/>
      <c r="D168" s="311"/>
      <c r="E168" s="311"/>
      <c r="F168" s="311"/>
      <c r="G168" s="311"/>
      <c r="H168" s="311"/>
    </row>
    <row r="169" spans="1:16" x14ac:dyDescent="0.35">
      <c r="A169" s="206">
        <v>1</v>
      </c>
      <c r="B169" s="207" t="s">
        <v>268</v>
      </c>
      <c r="C169" s="130" t="s">
        <v>7</v>
      </c>
      <c r="D169" s="311" t="s">
        <v>370</v>
      </c>
      <c r="E169" s="311"/>
      <c r="F169" s="311"/>
      <c r="G169" s="311"/>
      <c r="H169" s="311"/>
    </row>
    <row r="170" spans="1:16" x14ac:dyDescent="0.35">
      <c r="A170" s="206">
        <v>2</v>
      </c>
      <c r="B170" s="207" t="s">
        <v>106</v>
      </c>
      <c r="C170" s="130" t="s">
        <v>7</v>
      </c>
      <c r="D170" s="311" t="s">
        <v>107</v>
      </c>
      <c r="E170" s="311"/>
      <c r="F170" s="311"/>
      <c r="G170" s="311"/>
      <c r="H170" s="311"/>
    </row>
    <row r="171" spans="1:16" ht="28" customHeight="1" x14ac:dyDescent="0.35">
      <c r="A171" s="206">
        <v>3</v>
      </c>
      <c r="B171" s="207" t="s">
        <v>365</v>
      </c>
      <c r="C171" s="130" t="s">
        <v>141</v>
      </c>
      <c r="D171" s="311" t="s">
        <v>371</v>
      </c>
      <c r="E171" s="311"/>
      <c r="F171" s="311"/>
      <c r="G171" s="311"/>
      <c r="H171" s="311"/>
    </row>
    <row r="172" spans="1:16" x14ac:dyDescent="0.35">
      <c r="A172" s="206">
        <v>4</v>
      </c>
      <c r="B172" s="207" t="s">
        <v>173</v>
      </c>
      <c r="C172" s="130" t="s">
        <v>7</v>
      </c>
      <c r="D172" s="311" t="s">
        <v>317</v>
      </c>
      <c r="E172" s="311"/>
      <c r="F172" s="311"/>
      <c r="G172" s="311"/>
      <c r="H172" s="311"/>
    </row>
    <row r="173" spans="1:16" ht="25" x14ac:dyDescent="0.35">
      <c r="A173" s="206">
        <v>5</v>
      </c>
      <c r="B173" s="207" t="s">
        <v>175</v>
      </c>
      <c r="C173" s="130" t="s">
        <v>7</v>
      </c>
      <c r="D173" s="311" t="s">
        <v>314</v>
      </c>
      <c r="E173" s="311"/>
      <c r="F173" s="311"/>
      <c r="G173" s="311"/>
      <c r="H173" s="311"/>
    </row>
    <row r="174" spans="1:16" x14ac:dyDescent="0.35">
      <c r="A174" s="206">
        <v>6</v>
      </c>
      <c r="B174" s="207" t="s">
        <v>176</v>
      </c>
      <c r="C174" s="130" t="s">
        <v>7</v>
      </c>
      <c r="D174" s="311" t="s">
        <v>372</v>
      </c>
      <c r="E174" s="311"/>
      <c r="F174" s="311"/>
      <c r="G174" s="311"/>
      <c r="H174" s="311"/>
    </row>
    <row r="175" spans="1:16" x14ac:dyDescent="0.35">
      <c r="A175" s="206">
        <v>7</v>
      </c>
      <c r="B175" s="207" t="s">
        <v>180</v>
      </c>
      <c r="C175" s="128" t="s">
        <v>141</v>
      </c>
      <c r="D175" s="310">
        <f>[13]Лист_1!$V$404+[13]Лист_1!$Y$404</f>
        <v>657207.5</v>
      </c>
      <c r="E175" s="311"/>
      <c r="F175" s="311"/>
      <c r="G175" s="311"/>
      <c r="H175" s="311"/>
      <c r="K175" s="57" t="s">
        <v>373</v>
      </c>
    </row>
    <row r="176" spans="1:16" x14ac:dyDescent="0.35">
      <c r="A176" s="206">
        <v>8</v>
      </c>
      <c r="B176" s="207" t="s">
        <v>181</v>
      </c>
      <c r="C176" s="128" t="s">
        <v>141</v>
      </c>
      <c r="D176" s="310">
        <f>[13]Лист_1!$AV$404+[13]Лист_1!$AY$404</f>
        <v>1309204.42</v>
      </c>
      <c r="E176" s="311"/>
      <c r="F176" s="311"/>
      <c r="G176" s="311"/>
      <c r="H176" s="311"/>
    </row>
    <row r="177" spans="1:22" x14ac:dyDescent="0.35">
      <c r="A177" s="206">
        <v>9</v>
      </c>
      <c r="B177" s="207" t="s">
        <v>188</v>
      </c>
      <c r="C177" s="128" t="s">
        <v>141</v>
      </c>
      <c r="D177" s="310">
        <f>D175-D176</f>
        <v>-651996.91999999993</v>
      </c>
      <c r="E177" s="311"/>
      <c r="F177" s="311"/>
      <c r="G177" s="311"/>
      <c r="H177" s="311"/>
    </row>
    <row r="178" spans="1:22" x14ac:dyDescent="0.35">
      <c r="A178" s="206">
        <v>10</v>
      </c>
      <c r="B178" s="207" t="s">
        <v>183</v>
      </c>
      <c r="C178" s="128" t="s">
        <v>141</v>
      </c>
      <c r="D178" s="310">
        <f>D175</f>
        <v>657207.5</v>
      </c>
      <c r="E178" s="311"/>
      <c r="F178" s="311"/>
      <c r="G178" s="311"/>
      <c r="H178" s="311"/>
    </row>
    <row r="179" spans="1:22" x14ac:dyDescent="0.35">
      <c r="A179" s="206">
        <v>11</v>
      </c>
      <c r="B179" s="207" t="s">
        <v>184</v>
      </c>
      <c r="C179" s="128" t="s">
        <v>141</v>
      </c>
      <c r="D179" s="310">
        <f>D175</f>
        <v>657207.5</v>
      </c>
      <c r="E179" s="311"/>
      <c r="F179" s="311"/>
      <c r="G179" s="311"/>
      <c r="H179" s="311"/>
    </row>
    <row r="180" spans="1:22" ht="15.5" hidden="1" customHeight="1" x14ac:dyDescent="0.35">
      <c r="A180" s="106"/>
      <c r="B180" s="91"/>
      <c r="C180" s="91"/>
      <c r="D180" s="311"/>
      <c r="E180" s="311"/>
      <c r="F180" s="311"/>
      <c r="G180" s="311"/>
      <c r="H180" s="311"/>
    </row>
    <row r="181" spans="1:22" ht="15.5" hidden="1" customHeight="1" x14ac:dyDescent="0.35">
      <c r="A181" s="206"/>
      <c r="B181" s="207"/>
      <c r="C181" s="206"/>
      <c r="D181" s="311"/>
      <c r="E181" s="311"/>
      <c r="F181" s="311"/>
      <c r="G181" s="311"/>
      <c r="H181" s="311"/>
      <c r="T181" s="58"/>
      <c r="U181" s="58"/>
      <c r="V181" s="58"/>
    </row>
    <row r="182" spans="1:22" ht="15.5" hidden="1" customHeight="1" x14ac:dyDescent="0.35">
      <c r="A182" s="106"/>
      <c r="B182" s="91"/>
      <c r="C182" s="91"/>
      <c r="D182" s="311"/>
      <c r="E182" s="311"/>
      <c r="F182" s="311"/>
      <c r="G182" s="311"/>
      <c r="H182" s="311"/>
      <c r="T182" s="58"/>
      <c r="U182" s="58"/>
      <c r="V182" s="58"/>
    </row>
    <row r="183" spans="1:22" ht="15.5" hidden="1" customHeight="1" x14ac:dyDescent="0.35">
      <c r="A183" s="102" t="s">
        <v>0</v>
      </c>
      <c r="B183" s="330" t="s">
        <v>2</v>
      </c>
      <c r="C183" s="330" t="s">
        <v>3</v>
      </c>
      <c r="D183" s="311" t="s">
        <v>4</v>
      </c>
      <c r="E183" s="311"/>
      <c r="F183" s="311"/>
      <c r="G183" s="311"/>
      <c r="H183" s="311"/>
      <c r="T183" s="58"/>
      <c r="U183" s="58"/>
      <c r="V183" s="58"/>
    </row>
    <row r="184" spans="1:22" ht="15.5" hidden="1" customHeight="1" x14ac:dyDescent="0.35">
      <c r="A184" s="200" t="s">
        <v>1</v>
      </c>
      <c r="B184" s="330"/>
      <c r="C184" s="330"/>
      <c r="D184" s="311"/>
      <c r="E184" s="311"/>
      <c r="F184" s="311"/>
      <c r="G184" s="311"/>
      <c r="H184" s="311"/>
      <c r="T184" s="58"/>
      <c r="U184" s="58"/>
      <c r="V184" s="58"/>
    </row>
    <row r="185" spans="1:22" ht="15.5" hidden="1" customHeight="1" x14ac:dyDescent="0.35">
      <c r="A185" s="206" t="s">
        <v>5</v>
      </c>
      <c r="B185" s="207" t="s">
        <v>6</v>
      </c>
      <c r="C185" s="206" t="s">
        <v>7</v>
      </c>
      <c r="D185" s="311">
        <v>43851</v>
      </c>
      <c r="E185" s="311"/>
      <c r="F185" s="311"/>
      <c r="G185" s="311"/>
      <c r="H185" s="311"/>
      <c r="T185" s="58"/>
      <c r="U185" s="58"/>
      <c r="V185" s="58"/>
    </row>
    <row r="186" spans="1:22" ht="15.5" hidden="1" customHeight="1" x14ac:dyDescent="0.35">
      <c r="A186" s="206" t="s">
        <v>9</v>
      </c>
      <c r="B186" s="207" t="s">
        <v>194</v>
      </c>
      <c r="C186" s="206" t="s">
        <v>7</v>
      </c>
      <c r="D186" s="311" t="s">
        <v>195</v>
      </c>
      <c r="E186" s="311"/>
      <c r="F186" s="311"/>
      <c r="G186" s="311"/>
      <c r="H186" s="311"/>
      <c r="T186" s="58"/>
      <c r="U186" s="58"/>
      <c r="V186" s="58"/>
    </row>
    <row r="187" spans="1:22" ht="15.5" hidden="1" customHeight="1" x14ac:dyDescent="0.35">
      <c r="A187" s="206" t="s">
        <v>12</v>
      </c>
      <c r="B187" s="207" t="s">
        <v>106</v>
      </c>
      <c r="C187" s="206" t="s">
        <v>7</v>
      </c>
      <c r="D187" s="311" t="s">
        <v>107</v>
      </c>
      <c r="E187" s="311"/>
      <c r="F187" s="311"/>
      <c r="G187" s="311"/>
      <c r="H187" s="311"/>
      <c r="T187" s="58"/>
      <c r="U187" s="58"/>
      <c r="V187" s="58"/>
    </row>
    <row r="188" spans="1:22" ht="15.5" hidden="1" customHeight="1" x14ac:dyDescent="0.35">
      <c r="A188" s="206" t="s">
        <v>15</v>
      </c>
      <c r="B188" s="207" t="s">
        <v>172</v>
      </c>
      <c r="C188" s="206" t="s">
        <v>141</v>
      </c>
      <c r="D188" s="311" t="s">
        <v>196</v>
      </c>
      <c r="E188" s="311"/>
      <c r="F188" s="311"/>
      <c r="G188" s="311"/>
      <c r="H188" s="311"/>
      <c r="T188" s="58"/>
      <c r="U188" s="58"/>
      <c r="V188" s="58"/>
    </row>
    <row r="189" spans="1:22" ht="15.5" hidden="1" customHeight="1" x14ac:dyDescent="0.35">
      <c r="A189" s="206" t="s">
        <v>18</v>
      </c>
      <c r="B189" s="207" t="s">
        <v>173</v>
      </c>
      <c r="C189" s="206" t="s">
        <v>7</v>
      </c>
      <c r="D189" s="311" t="s">
        <v>197</v>
      </c>
      <c r="E189" s="311"/>
      <c r="F189" s="311"/>
      <c r="G189" s="311"/>
      <c r="H189" s="311"/>
      <c r="T189" s="58"/>
      <c r="U189" s="58"/>
      <c r="V189" s="58"/>
    </row>
    <row r="190" spans="1:22" ht="15.5" hidden="1" customHeight="1" x14ac:dyDescent="0.35">
      <c r="A190" s="336" t="s">
        <v>21</v>
      </c>
      <c r="B190" s="359" t="s">
        <v>175</v>
      </c>
      <c r="C190" s="336" t="s">
        <v>7</v>
      </c>
      <c r="D190" s="311" t="s">
        <v>198</v>
      </c>
      <c r="E190" s="311"/>
      <c r="F190" s="311"/>
      <c r="G190" s="311"/>
      <c r="H190" s="311"/>
      <c r="T190" s="58"/>
      <c r="U190" s="58"/>
      <c r="V190" s="58"/>
    </row>
    <row r="191" spans="1:22" ht="26" hidden="1" customHeight="1" x14ac:dyDescent="0.35">
      <c r="A191" s="336"/>
      <c r="B191" s="359"/>
      <c r="C191" s="336"/>
      <c r="D191" s="311" t="s">
        <v>199</v>
      </c>
      <c r="E191" s="311"/>
      <c r="F191" s="311"/>
      <c r="G191" s="311"/>
      <c r="H191" s="311"/>
      <c r="T191" s="58"/>
      <c r="U191" s="58"/>
      <c r="V191" s="58"/>
    </row>
    <row r="192" spans="1:22" ht="15.5" hidden="1" customHeight="1" x14ac:dyDescent="0.35">
      <c r="A192" s="206" t="s">
        <v>23</v>
      </c>
      <c r="B192" s="207" t="s">
        <v>176</v>
      </c>
      <c r="C192" s="130" t="s">
        <v>7</v>
      </c>
      <c r="D192" s="311" t="s">
        <v>177</v>
      </c>
      <c r="E192" s="311"/>
      <c r="F192" s="311"/>
      <c r="G192" s="311"/>
      <c r="H192" s="311"/>
      <c r="T192" s="58"/>
      <c r="U192" s="58"/>
      <c r="V192" s="58"/>
    </row>
    <row r="193" spans="1:23" ht="15.5" hidden="1" customHeight="1" x14ac:dyDescent="0.35">
      <c r="A193" s="206" t="s">
        <v>26</v>
      </c>
      <c r="B193" s="207" t="s">
        <v>178</v>
      </c>
      <c r="C193" s="128" t="s">
        <v>107</v>
      </c>
      <c r="D193" s="311">
        <v>457.84</v>
      </c>
      <c r="E193" s="311"/>
      <c r="F193" s="311"/>
      <c r="G193" s="311"/>
      <c r="H193" s="311"/>
      <c r="T193" s="58"/>
      <c r="U193" s="58"/>
      <c r="V193" s="58"/>
    </row>
    <row r="194" spans="1:23" ht="15.5" hidden="1" customHeight="1" x14ac:dyDescent="0.35">
      <c r="A194" s="206">
        <v>9</v>
      </c>
      <c r="B194" s="207" t="s">
        <v>180</v>
      </c>
      <c r="C194" s="128" t="s">
        <v>141</v>
      </c>
      <c r="D194" s="311">
        <v>896686.22</v>
      </c>
      <c r="E194" s="311"/>
      <c r="F194" s="311"/>
      <c r="G194" s="311"/>
      <c r="H194" s="311"/>
      <c r="T194" s="58"/>
      <c r="U194" s="58"/>
      <c r="V194" s="58"/>
    </row>
    <row r="195" spans="1:23" ht="15.5" hidden="1" customHeight="1" x14ac:dyDescent="0.35">
      <c r="A195" s="206">
        <v>10</v>
      </c>
      <c r="B195" s="207" t="s">
        <v>181</v>
      </c>
      <c r="C195" s="128" t="s">
        <v>141</v>
      </c>
      <c r="D195" s="311" t="s">
        <v>200</v>
      </c>
      <c r="E195" s="311"/>
      <c r="F195" s="311"/>
      <c r="G195" s="311"/>
      <c r="H195" s="311"/>
      <c r="T195" s="58"/>
      <c r="U195" s="58"/>
      <c r="V195" s="58"/>
    </row>
    <row r="196" spans="1:23" ht="15.5" hidden="1" customHeight="1" x14ac:dyDescent="0.35">
      <c r="A196" s="206">
        <v>11</v>
      </c>
      <c r="B196" s="207" t="s">
        <v>188</v>
      </c>
      <c r="C196" s="128" t="s">
        <v>141</v>
      </c>
      <c r="D196" s="311" t="s">
        <v>201</v>
      </c>
      <c r="E196" s="311"/>
      <c r="F196" s="311"/>
      <c r="G196" s="311"/>
      <c r="H196" s="311"/>
      <c r="T196" s="58"/>
      <c r="U196" s="58"/>
      <c r="V196" s="58"/>
    </row>
    <row r="197" spans="1:23" ht="15.5" hidden="1" customHeight="1" x14ac:dyDescent="0.35">
      <c r="A197" s="206">
        <v>12</v>
      </c>
      <c r="B197" s="207" t="s">
        <v>183</v>
      </c>
      <c r="C197" s="128" t="s">
        <v>141</v>
      </c>
      <c r="D197" s="311">
        <v>896686.22</v>
      </c>
      <c r="E197" s="311"/>
      <c r="F197" s="311"/>
      <c r="G197" s="311"/>
      <c r="H197" s="311"/>
      <c r="T197" s="58"/>
      <c r="U197" s="58"/>
      <c r="V197" s="58"/>
    </row>
    <row r="198" spans="1:23" ht="15.5" hidden="1" customHeight="1" x14ac:dyDescent="0.35">
      <c r="A198" s="206">
        <v>13</v>
      </c>
      <c r="B198" s="207" t="s">
        <v>184</v>
      </c>
      <c r="C198" s="128" t="s">
        <v>141</v>
      </c>
      <c r="D198" s="311">
        <v>896686.22</v>
      </c>
      <c r="E198" s="311"/>
      <c r="F198" s="311"/>
      <c r="G198" s="311"/>
      <c r="H198" s="311"/>
      <c r="T198" s="58"/>
      <c r="U198" s="58"/>
      <c r="V198" s="58"/>
    </row>
    <row r="199" spans="1:23" ht="15.5" hidden="1" customHeight="1" x14ac:dyDescent="0.35">
      <c r="A199" s="106"/>
      <c r="B199" s="91"/>
      <c r="C199" s="91"/>
      <c r="D199" s="311"/>
      <c r="E199" s="311"/>
      <c r="F199" s="311"/>
      <c r="G199" s="311"/>
      <c r="H199" s="311"/>
      <c r="T199" s="58"/>
      <c r="U199" s="58"/>
      <c r="V199" s="58"/>
    </row>
    <row r="200" spans="1:23" x14ac:dyDescent="0.35">
      <c r="A200" s="206" t="s">
        <v>0</v>
      </c>
      <c r="B200" s="330" t="s">
        <v>2</v>
      </c>
      <c r="C200" s="330" t="s">
        <v>3</v>
      </c>
      <c r="D200" s="311" t="s">
        <v>4</v>
      </c>
      <c r="E200" s="311"/>
      <c r="F200" s="311"/>
      <c r="G200" s="311"/>
      <c r="H200" s="311"/>
      <c r="T200" s="58"/>
      <c r="U200" s="58"/>
      <c r="V200" s="58"/>
      <c r="W200" s="58" t="e">
        <f>#REF!+#REF!</f>
        <v>#REF!</v>
      </c>
    </row>
    <row r="201" spans="1:23" x14ac:dyDescent="0.35">
      <c r="A201" s="200" t="s">
        <v>1</v>
      </c>
      <c r="B201" s="330"/>
      <c r="C201" s="330"/>
      <c r="D201" s="311"/>
      <c r="E201" s="311"/>
      <c r="F201" s="311"/>
      <c r="G201" s="311"/>
      <c r="H201" s="311"/>
      <c r="T201" s="58"/>
      <c r="U201" s="58">
        <f>'[7]проверка 25 год'!$AU$15</f>
        <v>432876.7899999998</v>
      </c>
      <c r="V201" s="58"/>
    </row>
    <row r="202" spans="1:23" x14ac:dyDescent="0.35">
      <c r="A202" s="206">
        <v>1</v>
      </c>
      <c r="B202" s="207" t="s">
        <v>202</v>
      </c>
      <c r="C202" s="206" t="s">
        <v>7</v>
      </c>
      <c r="D202" s="311" t="s">
        <v>203</v>
      </c>
      <c r="E202" s="311"/>
      <c r="F202" s="311"/>
      <c r="G202" s="311"/>
      <c r="H202" s="311"/>
    </row>
    <row r="203" spans="1:23" x14ac:dyDescent="0.35">
      <c r="A203" s="206">
        <v>2</v>
      </c>
      <c r="B203" s="207" t="s">
        <v>106</v>
      </c>
      <c r="C203" s="206" t="s">
        <v>7</v>
      </c>
      <c r="D203" s="311" t="s">
        <v>107</v>
      </c>
      <c r="E203" s="311"/>
      <c r="F203" s="311"/>
      <c r="G203" s="311"/>
      <c r="H203" s="311"/>
      <c r="U203" s="57">
        <v>2024693.37</v>
      </c>
      <c r="V203" s="57" t="s">
        <v>383</v>
      </c>
      <c r="W203" s="57">
        <f>U203-15070.29</f>
        <v>2009623.08</v>
      </c>
    </row>
    <row r="204" spans="1:23" x14ac:dyDescent="0.35">
      <c r="A204" s="206">
        <v>3</v>
      </c>
      <c r="B204" s="207" t="s">
        <v>172</v>
      </c>
      <c r="C204" s="206" t="s">
        <v>141</v>
      </c>
      <c r="D204" s="311" t="s">
        <v>371</v>
      </c>
      <c r="E204" s="311"/>
      <c r="F204" s="311"/>
      <c r="G204" s="311"/>
      <c r="H204" s="311"/>
    </row>
    <row r="205" spans="1:23" x14ac:dyDescent="0.35">
      <c r="A205" s="206">
        <v>4</v>
      </c>
      <c r="B205" s="207" t="s">
        <v>173</v>
      </c>
      <c r="C205" s="206" t="s">
        <v>7</v>
      </c>
      <c r="D205" s="311" t="s">
        <v>317</v>
      </c>
      <c r="E205" s="311"/>
      <c r="F205" s="311"/>
      <c r="G205" s="311"/>
      <c r="H205" s="311"/>
      <c r="U205" s="58" t="e">
        <f>U203-#REF!-#REF!</f>
        <v>#REF!</v>
      </c>
      <c r="W205" s="58" t="e">
        <f>W200-U201</f>
        <v>#REF!</v>
      </c>
    </row>
    <row r="206" spans="1:23" ht="25" x14ac:dyDescent="0.35">
      <c r="A206" s="206">
        <v>5</v>
      </c>
      <c r="B206" s="207" t="s">
        <v>175</v>
      </c>
      <c r="C206" s="206" t="s">
        <v>7</v>
      </c>
      <c r="D206" s="311" t="s">
        <v>328</v>
      </c>
      <c r="E206" s="311"/>
      <c r="F206" s="311"/>
      <c r="G206" s="311"/>
      <c r="H206" s="311"/>
      <c r="U206" s="58" t="e">
        <f>U205+U201</f>
        <v>#REF!</v>
      </c>
    </row>
    <row r="207" spans="1:23" x14ac:dyDescent="0.35">
      <c r="A207" s="206">
        <v>6</v>
      </c>
      <c r="B207" s="207" t="s">
        <v>176</v>
      </c>
      <c r="C207" s="130" t="s">
        <v>7</v>
      </c>
      <c r="D207" s="311" t="s">
        <v>372</v>
      </c>
      <c r="E207" s="311"/>
      <c r="F207" s="311"/>
      <c r="G207" s="311"/>
      <c r="H207" s="311"/>
    </row>
    <row r="208" spans="1:23" x14ac:dyDescent="0.35">
      <c r="A208" s="206">
        <v>7</v>
      </c>
      <c r="B208" s="207" t="s">
        <v>180</v>
      </c>
      <c r="C208" s="128" t="s">
        <v>141</v>
      </c>
      <c r="D208" s="310">
        <f>[13]Лист_1!$Q$404</f>
        <v>2823616.3</v>
      </c>
      <c r="E208" s="311"/>
      <c r="F208" s="311"/>
      <c r="G208" s="311"/>
      <c r="H208" s="311"/>
    </row>
    <row r="209" spans="1:24" x14ac:dyDescent="0.35">
      <c r="A209" s="206">
        <v>8</v>
      </c>
      <c r="B209" s="207" t="s">
        <v>181</v>
      </c>
      <c r="C209" s="128" t="s">
        <v>141</v>
      </c>
      <c r="D209" s="310">
        <f>[13]Лист_1!$AQ$404</f>
        <v>2858034.05</v>
      </c>
      <c r="E209" s="311"/>
      <c r="F209" s="311"/>
      <c r="G209" s="311"/>
      <c r="H209" s="311"/>
    </row>
    <row r="210" spans="1:24" x14ac:dyDescent="0.35">
      <c r="A210" s="206">
        <v>9</v>
      </c>
      <c r="B210" s="207" t="s">
        <v>188</v>
      </c>
      <c r="C210" s="128" t="s">
        <v>141</v>
      </c>
      <c r="D210" s="311">
        <f>D208-D209</f>
        <v>-34417.75</v>
      </c>
      <c r="E210" s="311"/>
      <c r="F210" s="311"/>
      <c r="G210" s="311"/>
      <c r="H210" s="311"/>
      <c r="U210" s="57" t="s">
        <v>361</v>
      </c>
      <c r="V210" s="57" t="s">
        <v>384</v>
      </c>
      <c r="W210" s="57" t="s">
        <v>385</v>
      </c>
    </row>
    <row r="211" spans="1:24" x14ac:dyDescent="0.35">
      <c r="A211" s="206">
        <v>10</v>
      </c>
      <c r="B211" s="207" t="s">
        <v>183</v>
      </c>
      <c r="C211" s="128" t="s">
        <v>141</v>
      </c>
      <c r="D211" s="310">
        <f>D208</f>
        <v>2823616.3</v>
      </c>
      <c r="E211" s="311"/>
      <c r="F211" s="311"/>
      <c r="G211" s="311"/>
      <c r="H211" s="311"/>
      <c r="T211" s="57">
        <v>4284306.9000000004</v>
      </c>
      <c r="U211" s="58" t="str">
        <f>D153</f>
        <v>Значение</v>
      </c>
      <c r="V211" s="58">
        <f>D175</f>
        <v>657207.5</v>
      </c>
      <c r="W211" s="58">
        <f>D208</f>
        <v>2823616.3</v>
      </c>
      <c r="X211" s="58"/>
    </row>
    <row r="212" spans="1:24" x14ac:dyDescent="0.35">
      <c r="A212" s="206">
        <v>11</v>
      </c>
      <c r="B212" s="207" t="s">
        <v>184</v>
      </c>
      <c r="C212" s="128" t="s">
        <v>141</v>
      </c>
      <c r="D212" s="310">
        <f>D211</f>
        <v>2823616.3</v>
      </c>
      <c r="E212" s="311"/>
      <c r="F212" s="311"/>
      <c r="G212" s="311"/>
      <c r="H212" s="311"/>
    </row>
    <row r="213" spans="1:24" ht="15.5" hidden="1" customHeight="1" x14ac:dyDescent="0.35">
      <c r="A213" s="106"/>
      <c r="B213" s="91"/>
      <c r="C213" s="91"/>
      <c r="D213" s="311"/>
      <c r="E213" s="311"/>
      <c r="F213" s="311"/>
      <c r="G213" s="311"/>
      <c r="H213" s="311"/>
    </row>
    <row r="214" spans="1:24" x14ac:dyDescent="0.35">
      <c r="A214" s="206" t="s">
        <v>0</v>
      </c>
      <c r="B214" s="330" t="s">
        <v>2</v>
      </c>
      <c r="C214" s="330" t="s">
        <v>3</v>
      </c>
      <c r="D214" s="311" t="s">
        <v>4</v>
      </c>
      <c r="E214" s="311"/>
      <c r="F214" s="311"/>
      <c r="G214" s="311"/>
      <c r="H214" s="311"/>
    </row>
    <row r="215" spans="1:24" x14ac:dyDescent="0.35">
      <c r="A215" s="200" t="s">
        <v>1</v>
      </c>
      <c r="B215" s="330"/>
      <c r="C215" s="330"/>
      <c r="D215" s="311"/>
      <c r="E215" s="311"/>
      <c r="F215" s="311"/>
      <c r="G215" s="311"/>
      <c r="H215" s="311"/>
    </row>
    <row r="216" spans="1:24" x14ac:dyDescent="0.35">
      <c r="A216" s="206">
        <v>1</v>
      </c>
      <c r="B216" s="207" t="s">
        <v>481</v>
      </c>
      <c r="C216" s="206" t="s">
        <v>7</v>
      </c>
      <c r="D216" s="311" t="s">
        <v>205</v>
      </c>
      <c r="E216" s="311"/>
      <c r="F216" s="311"/>
      <c r="G216" s="311"/>
      <c r="H216" s="311"/>
    </row>
    <row r="217" spans="1:24" x14ac:dyDescent="0.35">
      <c r="A217" s="206">
        <v>2</v>
      </c>
      <c r="B217" s="207" t="s">
        <v>106</v>
      </c>
      <c r="C217" s="206" t="s">
        <v>7</v>
      </c>
      <c r="D217" s="311" t="s">
        <v>158</v>
      </c>
      <c r="E217" s="311"/>
      <c r="F217" s="311"/>
      <c r="G217" s="311"/>
      <c r="H217" s="311"/>
    </row>
    <row r="218" spans="1:24" ht="37.5" x14ac:dyDescent="0.35">
      <c r="A218" s="206">
        <v>3</v>
      </c>
      <c r="B218" s="207" t="s">
        <v>172</v>
      </c>
      <c r="C218" s="206" t="s">
        <v>269</v>
      </c>
      <c r="D218" s="311" t="s">
        <v>376</v>
      </c>
      <c r="E218" s="311"/>
      <c r="F218" s="311"/>
      <c r="G218" s="311"/>
      <c r="H218" s="311"/>
      <c r="K218" s="57" t="s">
        <v>318</v>
      </c>
    </row>
    <row r="219" spans="1:24" x14ac:dyDescent="0.35">
      <c r="A219" s="206">
        <v>4</v>
      </c>
      <c r="B219" s="207" t="s">
        <v>173</v>
      </c>
      <c r="C219" s="206" t="s">
        <v>7</v>
      </c>
      <c r="D219" s="383" t="s">
        <v>270</v>
      </c>
      <c r="E219" s="383"/>
      <c r="F219" s="383"/>
      <c r="G219" s="383"/>
      <c r="H219" s="383"/>
      <c r="K219" s="57" t="s">
        <v>319</v>
      </c>
    </row>
    <row r="220" spans="1:24" ht="25" x14ac:dyDescent="0.35">
      <c r="A220" s="206">
        <v>5</v>
      </c>
      <c r="B220" s="207" t="s">
        <v>175</v>
      </c>
      <c r="C220" s="206" t="s">
        <v>7</v>
      </c>
      <c r="D220" s="311" t="s">
        <v>327</v>
      </c>
      <c r="E220" s="311"/>
      <c r="F220" s="311"/>
      <c r="G220" s="311"/>
      <c r="H220" s="311"/>
    </row>
    <row r="221" spans="1:24" x14ac:dyDescent="0.35">
      <c r="A221" s="206">
        <v>6</v>
      </c>
      <c r="B221" s="207" t="s">
        <v>176</v>
      </c>
      <c r="C221" s="130" t="s">
        <v>7</v>
      </c>
      <c r="D221" s="311" t="s">
        <v>359</v>
      </c>
      <c r="E221" s="311"/>
      <c r="F221" s="311"/>
      <c r="G221" s="311"/>
      <c r="H221" s="311"/>
      <c r="K221" s="57" t="str">
        <f>K218</f>
        <v>проверить тарифы</v>
      </c>
    </row>
    <row r="222" spans="1:24" x14ac:dyDescent="0.35">
      <c r="A222" s="206">
        <v>7</v>
      </c>
      <c r="B222" s="207" t="s">
        <v>180</v>
      </c>
      <c r="C222" s="128" t="s">
        <v>141</v>
      </c>
      <c r="D222" s="310">
        <f>[13]Лист_1!$J$404+[13]Лист_1!$K$404</f>
        <v>705039.29999999993</v>
      </c>
      <c r="E222" s="311"/>
      <c r="F222" s="311"/>
      <c r="G222" s="311"/>
      <c r="H222" s="311"/>
    </row>
    <row r="223" spans="1:24" x14ac:dyDescent="0.35">
      <c r="A223" s="206">
        <v>8</v>
      </c>
      <c r="B223" s="207" t="s">
        <v>181</v>
      </c>
      <c r="C223" s="128" t="s">
        <v>141</v>
      </c>
      <c r="D223" s="310">
        <f>[13]Лист_1!$AI$404+[13]Лист_1!$AJ$404</f>
        <v>685709.19000000006</v>
      </c>
      <c r="E223" s="311"/>
      <c r="F223" s="311"/>
      <c r="G223" s="311"/>
      <c r="H223" s="311"/>
    </row>
    <row r="224" spans="1:24" x14ac:dyDescent="0.35">
      <c r="A224" s="206">
        <v>9</v>
      </c>
      <c r="B224" s="207" t="s">
        <v>188</v>
      </c>
      <c r="C224" s="128" t="s">
        <v>141</v>
      </c>
      <c r="D224" s="311">
        <f>D222-D223</f>
        <v>19330.10999999987</v>
      </c>
      <c r="E224" s="311"/>
      <c r="F224" s="311"/>
      <c r="G224" s="311"/>
      <c r="H224" s="311"/>
    </row>
    <row r="225" spans="1:11" x14ac:dyDescent="0.35">
      <c r="A225" s="206">
        <v>10</v>
      </c>
      <c r="B225" s="207" t="s">
        <v>183</v>
      </c>
      <c r="C225" s="128" t="s">
        <v>141</v>
      </c>
      <c r="D225" s="311">
        <f>D222</f>
        <v>705039.29999999993</v>
      </c>
      <c r="E225" s="311"/>
      <c r="F225" s="311"/>
      <c r="G225" s="311"/>
      <c r="H225" s="311"/>
    </row>
    <row r="226" spans="1:11" x14ac:dyDescent="0.35">
      <c r="A226" s="206">
        <v>11</v>
      </c>
      <c r="B226" s="207" t="s">
        <v>184</v>
      </c>
      <c r="C226" s="128" t="s">
        <v>141</v>
      </c>
      <c r="D226" s="311">
        <f>D225</f>
        <v>705039.29999999993</v>
      </c>
      <c r="E226" s="311"/>
      <c r="F226" s="311"/>
      <c r="G226" s="311"/>
      <c r="H226" s="311"/>
    </row>
    <row r="227" spans="1:11" x14ac:dyDescent="0.35">
      <c r="A227" s="200" t="s">
        <v>1</v>
      </c>
      <c r="B227" s="200"/>
      <c r="C227" s="200"/>
      <c r="D227" s="311"/>
      <c r="E227" s="311"/>
      <c r="F227" s="311"/>
      <c r="G227" s="311"/>
      <c r="H227" s="311"/>
    </row>
    <row r="228" spans="1:11" ht="16" hidden="1" customHeight="1" x14ac:dyDescent="0.35">
      <c r="A228" s="206" t="s">
        <v>5</v>
      </c>
      <c r="B228" s="207" t="s">
        <v>6</v>
      </c>
      <c r="C228" s="206" t="s">
        <v>7</v>
      </c>
      <c r="D228" s="311">
        <v>43851</v>
      </c>
      <c r="E228" s="311"/>
      <c r="F228" s="311"/>
      <c r="G228" s="311"/>
      <c r="H228" s="311"/>
    </row>
    <row r="229" spans="1:11" x14ac:dyDescent="0.35">
      <c r="A229" s="206">
        <v>1</v>
      </c>
      <c r="B229" s="207" t="s">
        <v>149</v>
      </c>
      <c r="C229" s="206" t="s">
        <v>7</v>
      </c>
      <c r="D229" s="334" t="s">
        <v>157</v>
      </c>
      <c r="E229" s="334"/>
      <c r="F229" s="334"/>
      <c r="G229" s="334"/>
      <c r="H229" s="334"/>
    </row>
    <row r="230" spans="1:11" x14ac:dyDescent="0.35">
      <c r="A230" s="206">
        <v>2</v>
      </c>
      <c r="B230" s="207" t="s">
        <v>154</v>
      </c>
      <c r="C230" s="206" t="s">
        <v>7</v>
      </c>
      <c r="D230" s="311" t="s">
        <v>158</v>
      </c>
      <c r="E230" s="311"/>
      <c r="F230" s="311"/>
      <c r="G230" s="311"/>
      <c r="H230" s="311"/>
    </row>
    <row r="231" spans="1:11" x14ac:dyDescent="0.35">
      <c r="A231" s="206">
        <v>3</v>
      </c>
      <c r="B231" s="207" t="s">
        <v>264</v>
      </c>
      <c r="C231" s="125"/>
      <c r="D231" s="311"/>
      <c r="E231" s="311"/>
      <c r="F231" s="311"/>
      <c r="G231" s="311"/>
      <c r="H231" s="311"/>
    </row>
    <row r="232" spans="1:11" x14ac:dyDescent="0.35">
      <c r="A232" s="206" t="s">
        <v>218</v>
      </c>
      <c r="B232" s="210" t="s">
        <v>353</v>
      </c>
      <c r="C232" s="126" t="s">
        <v>308</v>
      </c>
      <c r="D232" s="311">
        <v>0.17799999999999999</v>
      </c>
      <c r="E232" s="311"/>
      <c r="F232" s="311"/>
      <c r="G232" s="311"/>
      <c r="H232" s="311"/>
    </row>
    <row r="233" spans="1:11" x14ac:dyDescent="0.35">
      <c r="A233" s="206" t="s">
        <v>219</v>
      </c>
      <c r="B233" s="210" t="s">
        <v>354</v>
      </c>
      <c r="C233" s="126" t="s">
        <v>308</v>
      </c>
      <c r="D233" s="311">
        <v>0.65100000000000002</v>
      </c>
      <c r="E233" s="311"/>
      <c r="F233" s="311"/>
      <c r="G233" s="311"/>
      <c r="H233" s="311"/>
    </row>
    <row r="234" spans="1:11" x14ac:dyDescent="0.35">
      <c r="A234" s="206" t="s">
        <v>221</v>
      </c>
      <c r="B234" s="210" t="s">
        <v>161</v>
      </c>
      <c r="C234" s="126" t="s">
        <v>309</v>
      </c>
      <c r="D234" s="311">
        <v>0.17799999999999999</v>
      </c>
      <c r="E234" s="311"/>
      <c r="F234" s="311"/>
      <c r="G234" s="311"/>
      <c r="H234" s="311"/>
    </row>
    <row r="235" spans="1:11" x14ac:dyDescent="0.35">
      <c r="A235" s="206" t="s">
        <v>222</v>
      </c>
      <c r="B235" s="210" t="s">
        <v>163</v>
      </c>
      <c r="C235" s="126" t="s">
        <v>310</v>
      </c>
      <c r="D235" s="311">
        <v>6.0609999999999999</v>
      </c>
      <c r="E235" s="311"/>
      <c r="F235" s="311"/>
      <c r="G235" s="311"/>
      <c r="H235" s="311"/>
    </row>
    <row r="236" spans="1:11" x14ac:dyDescent="0.35">
      <c r="A236" s="206" t="s">
        <v>355</v>
      </c>
      <c r="B236" s="210" t="s">
        <v>165</v>
      </c>
      <c r="C236" s="126" t="s">
        <v>311</v>
      </c>
      <c r="D236" s="311">
        <v>0.313</v>
      </c>
      <c r="E236" s="311"/>
      <c r="F236" s="311"/>
      <c r="G236" s="311"/>
      <c r="H236" s="311"/>
    </row>
    <row r="237" spans="1:11" x14ac:dyDescent="0.35">
      <c r="A237" s="206">
        <v>4</v>
      </c>
      <c r="B237" s="332" t="s">
        <v>477</v>
      </c>
      <c r="C237" s="332"/>
      <c r="D237" s="332"/>
      <c r="E237" s="332"/>
      <c r="F237" s="332"/>
      <c r="G237" s="332"/>
      <c r="H237" s="332"/>
    </row>
    <row r="238" spans="1:11" x14ac:dyDescent="0.35">
      <c r="A238" s="206" t="s">
        <v>159</v>
      </c>
      <c r="B238" s="210" t="s">
        <v>356</v>
      </c>
      <c r="C238" s="126" t="s">
        <v>141</v>
      </c>
      <c r="D238" s="310">
        <f>[13]Лист_1!$L$404</f>
        <v>25034.71</v>
      </c>
      <c r="E238" s="311"/>
      <c r="F238" s="311"/>
      <c r="G238" s="311"/>
      <c r="H238" s="311"/>
      <c r="K238" s="58"/>
    </row>
    <row r="239" spans="1:11" x14ac:dyDescent="0.35">
      <c r="A239" s="206" t="s">
        <v>160</v>
      </c>
      <c r="B239" s="210" t="s">
        <v>357</v>
      </c>
      <c r="C239" s="126"/>
      <c r="D239" s="310">
        <f>[13]Лист_1!$M$404</f>
        <v>83937.34</v>
      </c>
      <c r="E239" s="311"/>
      <c r="F239" s="311"/>
      <c r="G239" s="311"/>
      <c r="H239" s="311"/>
      <c r="K239" s="58"/>
    </row>
    <row r="240" spans="1:11" x14ac:dyDescent="0.35">
      <c r="A240" s="206" t="s">
        <v>162</v>
      </c>
      <c r="B240" s="210" t="s">
        <v>161</v>
      </c>
      <c r="C240" s="126" t="s">
        <v>141</v>
      </c>
      <c r="D240" s="310">
        <f>[13]Лист_1!$X$404</f>
        <v>25034.82</v>
      </c>
      <c r="E240" s="311"/>
      <c r="F240" s="311"/>
      <c r="G240" s="311"/>
      <c r="H240" s="311"/>
    </row>
    <row r="241" spans="1:8" x14ac:dyDescent="0.35">
      <c r="A241" s="206" t="s">
        <v>164</v>
      </c>
      <c r="B241" s="210" t="s">
        <v>163</v>
      </c>
      <c r="C241" s="126" t="s">
        <v>141</v>
      </c>
      <c r="D241" s="310">
        <f>[13]Лист_1!$Z$404</f>
        <v>903322.51</v>
      </c>
      <c r="E241" s="311"/>
      <c r="F241" s="311"/>
      <c r="G241" s="311"/>
      <c r="H241" s="311"/>
    </row>
    <row r="242" spans="1:8" x14ac:dyDescent="0.35">
      <c r="A242" s="206" t="s">
        <v>358</v>
      </c>
      <c r="B242" s="210" t="s">
        <v>165</v>
      </c>
      <c r="C242" s="126" t="s">
        <v>141</v>
      </c>
      <c r="D242" s="310">
        <f>[13]Лист_1!$H$404</f>
        <v>40627.33</v>
      </c>
      <c r="E242" s="311"/>
      <c r="F242" s="311"/>
      <c r="G242" s="311"/>
      <c r="H242" s="311"/>
    </row>
    <row r="243" spans="1:8" x14ac:dyDescent="0.35">
      <c r="A243" s="206">
        <v>5</v>
      </c>
      <c r="B243" s="210" t="s">
        <v>476</v>
      </c>
      <c r="C243" s="126" t="s">
        <v>141</v>
      </c>
      <c r="D243" s="310">
        <f>[13]Лист_1!$AA$404</f>
        <v>-335826.7</v>
      </c>
      <c r="E243" s="311"/>
      <c r="F243" s="311"/>
      <c r="G243" s="311"/>
      <c r="H243" s="311"/>
    </row>
    <row r="244" spans="1:8" x14ac:dyDescent="0.35">
      <c r="A244" s="206" t="s">
        <v>21</v>
      </c>
      <c r="B244" s="210" t="s">
        <v>296</v>
      </c>
      <c r="C244" s="126" t="s">
        <v>141</v>
      </c>
      <c r="D244" s="310">
        <f>[13]Лист_1!$Z$404</f>
        <v>903322.51</v>
      </c>
      <c r="E244" s="311"/>
      <c r="F244" s="311"/>
      <c r="G244" s="311"/>
      <c r="H244" s="311"/>
    </row>
    <row r="245" spans="1:8" x14ac:dyDescent="0.35">
      <c r="A245" s="206" t="s">
        <v>23</v>
      </c>
      <c r="B245" s="210" t="s">
        <v>144</v>
      </c>
      <c r="C245" s="126" t="s">
        <v>7</v>
      </c>
      <c r="D245" s="311" t="s">
        <v>478</v>
      </c>
      <c r="E245" s="311"/>
      <c r="F245" s="311"/>
      <c r="G245" s="311"/>
      <c r="H245" s="311"/>
    </row>
    <row r="246" spans="1:8" ht="16" hidden="1" thickBot="1" x14ac:dyDescent="0.4">
      <c r="A246" s="100"/>
      <c r="B246" s="101"/>
      <c r="C246" s="101"/>
      <c r="D246" s="101"/>
    </row>
    <row r="247" spans="1:8" ht="16" hidden="1" thickBot="1" x14ac:dyDescent="0.4">
      <c r="A247" s="120"/>
      <c r="B247" s="121"/>
      <c r="C247" s="121"/>
      <c r="D247" s="121"/>
    </row>
    <row r="248" spans="1:8" ht="35.5" customHeight="1" x14ac:dyDescent="0.35">
      <c r="A248" s="206" t="s">
        <v>23</v>
      </c>
      <c r="B248" s="207" t="s">
        <v>145</v>
      </c>
      <c r="C248" s="206" t="s">
        <v>7</v>
      </c>
      <c r="D248" s="333" t="s">
        <v>429</v>
      </c>
      <c r="E248" s="333"/>
      <c r="F248" s="333"/>
      <c r="G248" s="333"/>
      <c r="H248" s="333"/>
    </row>
    <row r="250" spans="1:8" x14ac:dyDescent="0.35">
      <c r="A250" s="368" t="s">
        <v>206</v>
      </c>
      <c r="B250" s="368"/>
      <c r="C250" s="368"/>
      <c r="D250" s="368"/>
    </row>
    <row r="252" spans="1:8" x14ac:dyDescent="0.35">
      <c r="A252" s="102" t="s">
        <v>0</v>
      </c>
      <c r="B252" s="330" t="s">
        <v>2</v>
      </c>
      <c r="C252" s="330" t="s">
        <v>3</v>
      </c>
      <c r="D252" s="330" t="s">
        <v>4</v>
      </c>
      <c r="E252" s="274"/>
    </row>
    <row r="253" spans="1:8" x14ac:dyDescent="0.35">
      <c r="A253" s="200" t="s">
        <v>1</v>
      </c>
      <c r="B253" s="330"/>
      <c r="C253" s="330"/>
      <c r="D253" s="330"/>
      <c r="E253" s="274"/>
    </row>
    <row r="254" spans="1:8" x14ac:dyDescent="0.35">
      <c r="A254" s="206">
        <v>1</v>
      </c>
      <c r="B254" s="207" t="s">
        <v>207</v>
      </c>
      <c r="C254" s="206" t="s">
        <v>7</v>
      </c>
      <c r="D254" s="84" t="str">
        <f>D272</f>
        <v>Холл первого этажа</v>
      </c>
      <c r="E254" s="189"/>
    </row>
    <row r="255" spans="1:8" x14ac:dyDescent="0.35">
      <c r="A255" s="206" t="s">
        <v>276</v>
      </c>
      <c r="B255" s="207" t="s">
        <v>210</v>
      </c>
      <c r="C255" s="206" t="s">
        <v>7</v>
      </c>
      <c r="D255" s="84" t="s">
        <v>224</v>
      </c>
      <c r="E255" s="189"/>
    </row>
    <row r="256" spans="1:8" x14ac:dyDescent="0.35">
      <c r="A256" s="206" t="s">
        <v>277</v>
      </c>
      <c r="B256" s="207" t="s">
        <v>213</v>
      </c>
      <c r="C256" s="206" t="s">
        <v>7</v>
      </c>
      <c r="D256" s="84" t="s">
        <v>280</v>
      </c>
      <c r="E256" s="189"/>
    </row>
    <row r="257" spans="1:5" x14ac:dyDescent="0.35">
      <c r="A257" s="193" t="s">
        <v>278</v>
      </c>
      <c r="B257" s="207" t="s">
        <v>216</v>
      </c>
      <c r="C257" s="206" t="s">
        <v>7</v>
      </c>
      <c r="D257" s="194">
        <v>2022</v>
      </c>
      <c r="E257" s="190"/>
    </row>
    <row r="258" spans="1:5" x14ac:dyDescent="0.35">
      <c r="A258" s="206" t="s">
        <v>279</v>
      </c>
      <c r="B258" s="207" t="s">
        <v>274</v>
      </c>
      <c r="C258" s="206" t="s">
        <v>141</v>
      </c>
      <c r="D258" s="275">
        <f>'[14]2025'!$J$91</f>
        <v>7200</v>
      </c>
      <c r="E258" s="189"/>
    </row>
    <row r="259" spans="1:5" ht="6.5" customHeight="1" x14ac:dyDescent="0.35">
      <c r="A259" s="206"/>
      <c r="B259" s="207"/>
      <c r="C259" s="206"/>
      <c r="D259" s="84"/>
      <c r="E259" s="189"/>
    </row>
    <row r="260" spans="1:5" x14ac:dyDescent="0.35">
      <c r="A260" s="206" t="s">
        <v>9</v>
      </c>
      <c r="B260" s="207" t="s">
        <v>207</v>
      </c>
      <c r="C260" s="206" t="s">
        <v>7</v>
      </c>
      <c r="D260" s="84" t="s">
        <v>208</v>
      </c>
      <c r="E260" s="189"/>
    </row>
    <row r="261" spans="1:5" x14ac:dyDescent="0.35">
      <c r="A261" s="206" t="s">
        <v>209</v>
      </c>
      <c r="B261" s="207" t="s">
        <v>210</v>
      </c>
      <c r="C261" s="206" t="s">
        <v>7</v>
      </c>
      <c r="D261" s="84" t="s">
        <v>211</v>
      </c>
      <c r="E261" s="189"/>
    </row>
    <row r="262" spans="1:5" x14ac:dyDescent="0.35">
      <c r="A262" s="206" t="s">
        <v>212</v>
      </c>
      <c r="B262" s="207" t="s">
        <v>213</v>
      </c>
      <c r="C262" s="206" t="s">
        <v>7</v>
      </c>
      <c r="D262" s="84" t="s">
        <v>214</v>
      </c>
      <c r="E262" s="189"/>
    </row>
    <row r="263" spans="1:5" x14ac:dyDescent="0.35">
      <c r="A263" s="193" t="s">
        <v>215</v>
      </c>
      <c r="B263" s="207" t="s">
        <v>216</v>
      </c>
      <c r="C263" s="206" t="s">
        <v>7</v>
      </c>
      <c r="D263" s="194">
        <v>2012</v>
      </c>
      <c r="E263" s="190"/>
    </row>
    <row r="264" spans="1:5" x14ac:dyDescent="0.35">
      <c r="A264" s="206" t="s">
        <v>217</v>
      </c>
      <c r="B264" s="207" t="s">
        <v>274</v>
      </c>
      <c r="C264" s="206" t="s">
        <v>141</v>
      </c>
      <c r="D264" s="84">
        <v>0</v>
      </c>
      <c r="E264" s="189"/>
    </row>
    <row r="265" spans="1:5" ht="6.5" customHeight="1" x14ac:dyDescent="0.35">
      <c r="A265" s="206"/>
      <c r="B265" s="207"/>
      <c r="C265" s="206"/>
      <c r="D265" s="84"/>
      <c r="E265" s="189"/>
    </row>
    <row r="266" spans="1:5" x14ac:dyDescent="0.35">
      <c r="A266" s="206">
        <v>3</v>
      </c>
      <c r="B266" s="207" t="s">
        <v>207</v>
      </c>
      <c r="C266" s="206"/>
      <c r="D266" s="84" t="s">
        <v>208</v>
      </c>
      <c r="E266" s="189"/>
    </row>
    <row r="267" spans="1:5" x14ac:dyDescent="0.35">
      <c r="A267" s="206" t="s">
        <v>218</v>
      </c>
      <c r="B267" s="207" t="s">
        <v>210</v>
      </c>
      <c r="C267" s="206" t="s">
        <v>7</v>
      </c>
      <c r="D267" s="84" t="s">
        <v>211</v>
      </c>
      <c r="E267" s="189"/>
    </row>
    <row r="268" spans="1:5" ht="43.5" customHeight="1" x14ac:dyDescent="0.35">
      <c r="A268" s="206" t="s">
        <v>219</v>
      </c>
      <c r="B268" s="207" t="s">
        <v>213</v>
      </c>
      <c r="C268" s="206" t="s">
        <v>7</v>
      </c>
      <c r="D268" s="84" t="s">
        <v>220</v>
      </c>
      <c r="E268" s="189"/>
    </row>
    <row r="269" spans="1:5" x14ac:dyDescent="0.35">
      <c r="A269" s="206" t="s">
        <v>221</v>
      </c>
      <c r="B269" s="207" t="s">
        <v>216</v>
      </c>
      <c r="C269" s="206" t="s">
        <v>7</v>
      </c>
      <c r="D269" s="194">
        <v>2018</v>
      </c>
      <c r="E269" s="190"/>
    </row>
    <row r="270" spans="1:5" x14ac:dyDescent="0.35">
      <c r="A270" s="206" t="s">
        <v>222</v>
      </c>
      <c r="B270" s="207" t="s">
        <v>274</v>
      </c>
      <c r="C270" s="206" t="s">
        <v>141</v>
      </c>
      <c r="D270" s="275">
        <f>'[14]2025'!$M$88</f>
        <v>19200</v>
      </c>
      <c r="E270" s="189"/>
    </row>
    <row r="271" spans="1:5" ht="6.5" customHeight="1" x14ac:dyDescent="0.35">
      <c r="A271" s="206"/>
      <c r="B271" s="207"/>
      <c r="C271" s="206"/>
      <c r="D271" s="84"/>
      <c r="E271" s="189"/>
    </row>
    <row r="272" spans="1:5" x14ac:dyDescent="0.35">
      <c r="A272" s="206">
        <v>4</v>
      </c>
      <c r="B272" s="207" t="s">
        <v>207</v>
      </c>
      <c r="C272" s="206"/>
      <c r="D272" s="84" t="s">
        <v>223</v>
      </c>
      <c r="E272" s="189"/>
    </row>
    <row r="273" spans="1:5" x14ac:dyDescent="0.35">
      <c r="A273" s="206" t="s">
        <v>159</v>
      </c>
      <c r="B273" s="207" t="s">
        <v>210</v>
      </c>
      <c r="C273" s="206" t="s">
        <v>7</v>
      </c>
      <c r="D273" s="84" t="s">
        <v>224</v>
      </c>
      <c r="E273" s="189"/>
    </row>
    <row r="274" spans="1:5" ht="15.5" customHeight="1" x14ac:dyDescent="0.35">
      <c r="A274" s="336" t="s">
        <v>160</v>
      </c>
      <c r="B274" s="359" t="s">
        <v>213</v>
      </c>
      <c r="C274" s="336" t="s">
        <v>7</v>
      </c>
      <c r="D274" s="382" t="s">
        <v>275</v>
      </c>
      <c r="E274" s="189"/>
    </row>
    <row r="275" spans="1:5" x14ac:dyDescent="0.35">
      <c r="A275" s="336"/>
      <c r="B275" s="359"/>
      <c r="C275" s="336"/>
      <c r="D275" s="382"/>
      <c r="E275" s="189"/>
    </row>
    <row r="276" spans="1:5" x14ac:dyDescent="0.35">
      <c r="A276" s="206" t="s">
        <v>162</v>
      </c>
      <c r="B276" s="207" t="s">
        <v>216</v>
      </c>
      <c r="C276" s="206" t="s">
        <v>7</v>
      </c>
      <c r="D276" s="194">
        <v>2015</v>
      </c>
      <c r="E276" s="190"/>
    </row>
    <row r="277" spans="1:5" ht="19" customHeight="1" x14ac:dyDescent="0.35">
      <c r="A277" s="206" t="s">
        <v>164</v>
      </c>
      <c r="B277" s="207" t="s">
        <v>274</v>
      </c>
      <c r="C277" s="206" t="s">
        <v>141</v>
      </c>
      <c r="D277" s="84">
        <v>42000</v>
      </c>
      <c r="E277" s="189"/>
    </row>
    <row r="278" spans="1:5" ht="6.5" customHeight="1" x14ac:dyDescent="0.35">
      <c r="A278" s="206"/>
      <c r="B278" s="207"/>
      <c r="C278" s="206"/>
      <c r="D278" s="84"/>
      <c r="E278" s="189"/>
    </row>
    <row r="279" spans="1:5" x14ac:dyDescent="0.35">
      <c r="A279" s="206">
        <v>5</v>
      </c>
      <c r="B279" s="207" t="s">
        <v>207</v>
      </c>
      <c r="C279" s="206"/>
      <c r="D279" s="84" t="s">
        <v>208</v>
      </c>
      <c r="E279" s="189"/>
    </row>
    <row r="280" spans="1:5" x14ac:dyDescent="0.35">
      <c r="A280" s="206" t="s">
        <v>166</v>
      </c>
      <c r="B280" s="207" t="s">
        <v>210</v>
      </c>
      <c r="C280" s="206" t="s">
        <v>7</v>
      </c>
      <c r="D280" s="84" t="s">
        <v>211</v>
      </c>
      <c r="E280" s="189"/>
    </row>
    <row r="281" spans="1:5" x14ac:dyDescent="0.35">
      <c r="A281" s="206" t="s">
        <v>167</v>
      </c>
      <c r="B281" s="207" t="s">
        <v>213</v>
      </c>
      <c r="C281" s="206" t="s">
        <v>7</v>
      </c>
      <c r="D281" s="84" t="s">
        <v>225</v>
      </c>
      <c r="E281" s="189"/>
    </row>
    <row r="282" spans="1:5" x14ac:dyDescent="0.35">
      <c r="A282" s="206" t="s">
        <v>168</v>
      </c>
      <c r="B282" s="207" t="s">
        <v>216</v>
      </c>
      <c r="C282" s="206" t="s">
        <v>7</v>
      </c>
      <c r="D282" s="194">
        <v>2011</v>
      </c>
      <c r="E282" s="190"/>
    </row>
    <row r="283" spans="1:5" x14ac:dyDescent="0.35">
      <c r="A283" s="206" t="s">
        <v>169</v>
      </c>
      <c r="B283" s="207" t="s">
        <v>274</v>
      </c>
      <c r="C283" s="206" t="s">
        <v>141</v>
      </c>
      <c r="D283" s="275">
        <f>'[14]2025'!$L$88</f>
        <v>24000</v>
      </c>
      <c r="E283" s="189"/>
    </row>
    <row r="285" spans="1:5" x14ac:dyDescent="0.35">
      <c r="A285" s="368" t="s">
        <v>226</v>
      </c>
      <c r="B285" s="368"/>
      <c r="C285" s="368"/>
      <c r="D285" s="368"/>
    </row>
    <row r="287" spans="1:5" x14ac:dyDescent="0.35">
      <c r="A287" s="102" t="s">
        <v>0</v>
      </c>
      <c r="B287" s="330" t="s">
        <v>2</v>
      </c>
      <c r="C287" s="330" t="s">
        <v>3</v>
      </c>
      <c r="D287" s="330" t="s">
        <v>4</v>
      </c>
      <c r="E287" s="274"/>
    </row>
    <row r="288" spans="1:5" x14ac:dyDescent="0.35">
      <c r="A288" s="200" t="s">
        <v>1</v>
      </c>
      <c r="B288" s="330"/>
      <c r="C288" s="330"/>
      <c r="D288" s="330"/>
      <c r="E288" s="274"/>
    </row>
    <row r="289" spans="1:12" x14ac:dyDescent="0.35">
      <c r="A289" s="369" t="s">
        <v>299</v>
      </c>
      <c r="B289" s="369"/>
      <c r="C289" s="369"/>
      <c r="D289" s="369"/>
      <c r="E289" s="196"/>
    </row>
    <row r="290" spans="1:12" x14ac:dyDescent="0.35">
      <c r="A290" s="206">
        <v>1</v>
      </c>
      <c r="B290" s="207" t="s">
        <v>227</v>
      </c>
      <c r="C290" s="206" t="s">
        <v>7</v>
      </c>
      <c r="D290" s="84" t="s">
        <v>281</v>
      </c>
      <c r="E290" s="189"/>
    </row>
    <row r="291" spans="1:12" ht="25" x14ac:dyDescent="0.35">
      <c r="A291" s="206">
        <v>2</v>
      </c>
      <c r="B291" s="207" t="s">
        <v>333</v>
      </c>
      <c r="C291" s="206" t="s">
        <v>141</v>
      </c>
      <c r="D291" s="84">
        <v>14.44</v>
      </c>
      <c r="E291" s="189"/>
    </row>
    <row r="292" spans="1:12" x14ac:dyDescent="0.35">
      <c r="A292" s="206">
        <v>3</v>
      </c>
      <c r="B292" s="207" t="s">
        <v>340</v>
      </c>
      <c r="C292" s="206" t="s">
        <v>141</v>
      </c>
      <c r="D292" s="251">
        <v>14515242.619999999</v>
      </c>
      <c r="E292" s="189"/>
      <c r="L292" s="57" t="s">
        <v>321</v>
      </c>
    </row>
    <row r="293" spans="1:12" x14ac:dyDescent="0.35">
      <c r="A293" s="206">
        <v>4</v>
      </c>
      <c r="B293" s="207" t="str">
        <f>'[8]К. Беляева 40Б'!$A$20</f>
        <v>Задолженность потребителей (на начало периода)</v>
      </c>
      <c r="C293" s="206" t="s">
        <v>141</v>
      </c>
      <c r="D293" s="251">
        <f>[15]Лист_1!$G$237</f>
        <v>2322575.6800000002</v>
      </c>
      <c r="E293" s="189"/>
      <c r="L293" s="57" t="s">
        <v>321</v>
      </c>
    </row>
    <row r="294" spans="1:12" x14ac:dyDescent="0.35">
      <c r="A294" s="206">
        <v>5</v>
      </c>
      <c r="B294" s="207" t="str">
        <f>'[8]К. Беляева 40Б'!$A$21</f>
        <v>Задолженность потребителей (на конец периода)</v>
      </c>
      <c r="C294" s="206" t="s">
        <v>141</v>
      </c>
      <c r="D294" s="251">
        <f>[15]Лист_1!$J$237</f>
        <v>2265164.08</v>
      </c>
      <c r="E294" s="189"/>
      <c r="L294" s="57" t="s">
        <v>321</v>
      </c>
    </row>
    <row r="295" spans="1:12" x14ac:dyDescent="0.35">
      <c r="A295" s="206">
        <v>6</v>
      </c>
      <c r="B295" s="207" t="str">
        <f>'[8]К. Беляева 40Б'!$A$22</f>
        <v>Начислено</v>
      </c>
      <c r="C295" s="206" t="s">
        <v>141</v>
      </c>
      <c r="D295" s="251">
        <f>[15]Лист_1!$H$237</f>
        <v>2525427.11</v>
      </c>
      <c r="E295" s="189"/>
      <c r="L295" s="57" t="s">
        <v>321</v>
      </c>
    </row>
    <row r="296" spans="1:12" x14ac:dyDescent="0.35">
      <c r="A296" s="206">
        <v>7</v>
      </c>
      <c r="B296" s="207" t="str">
        <f>'[8]К. Беляева 40Б'!$A$23</f>
        <v>Оплачено</v>
      </c>
      <c r="C296" s="206" t="s">
        <v>141</v>
      </c>
      <c r="D296" s="251">
        <f>[15]Лист_1!$I$237</f>
        <v>2582838.71</v>
      </c>
      <c r="E296" s="189"/>
    </row>
    <row r="297" spans="1:12" x14ac:dyDescent="0.35">
      <c r="A297" s="206">
        <v>8</v>
      </c>
      <c r="B297" s="207" t="s">
        <v>341</v>
      </c>
      <c r="C297" s="206" t="s">
        <v>141</v>
      </c>
      <c r="D297" s="251">
        <f>'[16]Остатки на счете'!$E$8</f>
        <v>6879070.2199999997</v>
      </c>
      <c r="E297" s="189"/>
    </row>
    <row r="298" spans="1:12" x14ac:dyDescent="0.35">
      <c r="A298" s="206">
        <v>9</v>
      </c>
      <c r="B298" s="207" t="s">
        <v>342</v>
      </c>
      <c r="C298" s="206" t="s">
        <v>141</v>
      </c>
      <c r="D298" s="251">
        <f>'[16]Остатки на счете'!$D$7</f>
        <v>11613547.789999999</v>
      </c>
      <c r="E298" s="189"/>
    </row>
    <row r="299" spans="1:12" ht="17" customHeight="1" x14ac:dyDescent="0.35"/>
    <row r="300" spans="1:12" hidden="1" x14ac:dyDescent="0.35">
      <c r="A300" s="368" t="s">
        <v>228</v>
      </c>
      <c r="B300" s="368"/>
      <c r="C300" s="368"/>
      <c r="D300" s="368"/>
    </row>
    <row r="301" spans="1:12" hidden="1" x14ac:dyDescent="0.35">
      <c r="A301" s="138"/>
    </row>
    <row r="302" spans="1:12" hidden="1" x14ac:dyDescent="0.35">
      <c r="A302" s="132" t="s">
        <v>0</v>
      </c>
      <c r="B302" s="360" t="s">
        <v>2</v>
      </c>
      <c r="C302" s="360" t="s">
        <v>3</v>
      </c>
      <c r="D302" s="360" t="s">
        <v>4</v>
      </c>
      <c r="E302" s="274"/>
    </row>
    <row r="303" spans="1:12" ht="16" hidden="1" thickBot="1" x14ac:dyDescent="0.4">
      <c r="A303" s="133" t="s">
        <v>1</v>
      </c>
      <c r="B303" s="361"/>
      <c r="C303" s="361"/>
      <c r="D303" s="361"/>
      <c r="E303" s="274"/>
    </row>
    <row r="304" spans="1:12" ht="16" hidden="1" x14ac:dyDescent="0.35">
      <c r="A304" s="86" t="s">
        <v>5</v>
      </c>
      <c r="B304" s="139" t="s">
        <v>6</v>
      </c>
      <c r="C304" s="86" t="s">
        <v>7</v>
      </c>
      <c r="D304" s="276">
        <v>43851</v>
      </c>
      <c r="E304" s="277"/>
    </row>
    <row r="305" spans="1:5" ht="31" hidden="1" x14ac:dyDescent="0.35">
      <c r="A305" s="86" t="s">
        <v>5</v>
      </c>
      <c r="B305" s="87" t="s">
        <v>229</v>
      </c>
      <c r="C305" s="86" t="s">
        <v>7</v>
      </c>
      <c r="D305" s="140" t="s">
        <v>230</v>
      </c>
      <c r="E305" s="63"/>
    </row>
    <row r="306" spans="1:5" ht="31.5" hidden="1" thickBot="1" x14ac:dyDescent="0.4">
      <c r="A306" s="89" t="s">
        <v>9</v>
      </c>
      <c r="B306" s="90" t="s">
        <v>229</v>
      </c>
      <c r="C306" s="89" t="s">
        <v>7</v>
      </c>
      <c r="D306" s="141" t="s">
        <v>231</v>
      </c>
      <c r="E306" s="63"/>
    </row>
    <row r="307" spans="1:5" ht="31.5" hidden="1" thickBot="1" x14ac:dyDescent="0.4">
      <c r="A307" s="134" t="s">
        <v>12</v>
      </c>
      <c r="B307" s="135" t="s">
        <v>229</v>
      </c>
      <c r="C307" s="134" t="s">
        <v>7</v>
      </c>
      <c r="D307" s="142" t="s">
        <v>232</v>
      </c>
      <c r="E307" s="63"/>
    </row>
    <row r="308" spans="1:5" ht="31.5" hidden="1" thickBot="1" x14ac:dyDescent="0.4">
      <c r="A308" s="134" t="s">
        <v>15</v>
      </c>
      <c r="B308" s="135" t="s">
        <v>229</v>
      </c>
      <c r="C308" s="134" t="s">
        <v>7</v>
      </c>
      <c r="D308" s="142" t="s">
        <v>233</v>
      </c>
      <c r="E308" s="63"/>
    </row>
    <row r="309" spans="1:5" ht="31.5" hidden="1" thickBot="1" x14ac:dyDescent="0.4">
      <c r="A309" s="134" t="s">
        <v>18</v>
      </c>
      <c r="B309" s="143" t="s">
        <v>229</v>
      </c>
      <c r="C309" s="134" t="s">
        <v>7</v>
      </c>
      <c r="D309" s="142" t="s">
        <v>234</v>
      </c>
      <c r="E309" s="63"/>
    </row>
    <row r="310" spans="1:5" ht="31.5" hidden="1" thickBot="1" x14ac:dyDescent="0.4">
      <c r="A310" s="134" t="s">
        <v>21</v>
      </c>
      <c r="B310" s="143" t="s">
        <v>229</v>
      </c>
      <c r="C310" s="134" t="s">
        <v>7</v>
      </c>
      <c r="D310" s="142" t="s">
        <v>235</v>
      </c>
      <c r="E310" s="63"/>
    </row>
    <row r="311" spans="1:5" ht="31.5" hidden="1" thickBot="1" x14ac:dyDescent="0.4">
      <c r="A311" s="134" t="s">
        <v>23</v>
      </c>
      <c r="B311" s="143" t="s">
        <v>229</v>
      </c>
      <c r="C311" s="134" t="s">
        <v>7</v>
      </c>
      <c r="D311" s="142" t="s">
        <v>236</v>
      </c>
      <c r="E311" s="63"/>
    </row>
    <row r="312" spans="1:5" ht="31.5" hidden="1" thickBot="1" x14ac:dyDescent="0.4">
      <c r="A312" s="134" t="s">
        <v>26</v>
      </c>
      <c r="B312" s="143" t="s">
        <v>229</v>
      </c>
      <c r="C312" s="134" t="s">
        <v>7</v>
      </c>
      <c r="D312" s="142" t="s">
        <v>237</v>
      </c>
      <c r="E312" s="63"/>
    </row>
    <row r="313" spans="1:5" ht="16" hidden="1" thickBot="1" x14ac:dyDescent="0.4">
      <c r="A313" s="134"/>
      <c r="B313" s="135"/>
      <c r="C313" s="134"/>
      <c r="D313" s="142"/>
      <c r="E313" s="63"/>
    </row>
    <row r="315" spans="1:5" ht="16" x14ac:dyDescent="0.4">
      <c r="A315" s="384" t="s">
        <v>238</v>
      </c>
      <c r="B315" s="384"/>
      <c r="C315" s="384"/>
      <c r="D315" s="384"/>
    </row>
    <row r="316" spans="1:5" x14ac:dyDescent="0.35">
      <c r="A316" s="202" t="s">
        <v>0</v>
      </c>
      <c r="B316" s="316" t="s">
        <v>2</v>
      </c>
      <c r="C316" s="316" t="s">
        <v>3</v>
      </c>
      <c r="D316" s="316" t="s">
        <v>4</v>
      </c>
    </row>
    <row r="317" spans="1:5" x14ac:dyDescent="0.35">
      <c r="A317" s="202" t="s">
        <v>1</v>
      </c>
      <c r="B317" s="316"/>
      <c r="C317" s="316"/>
      <c r="D317" s="316"/>
    </row>
    <row r="318" spans="1:5" ht="16" x14ac:dyDescent="0.35">
      <c r="A318" s="204" t="s">
        <v>5</v>
      </c>
      <c r="B318" s="205" t="s">
        <v>6</v>
      </c>
      <c r="C318" s="204" t="s">
        <v>7</v>
      </c>
      <c r="D318" s="119">
        <v>46073</v>
      </c>
    </row>
    <row r="319" spans="1:5" ht="16" x14ac:dyDescent="0.35">
      <c r="A319" s="204" t="s">
        <v>9</v>
      </c>
      <c r="B319" s="205" t="s">
        <v>239</v>
      </c>
      <c r="C319" s="204" t="s">
        <v>7</v>
      </c>
      <c r="D319" s="119">
        <v>45658</v>
      </c>
    </row>
    <row r="320" spans="1:5" ht="16" x14ac:dyDescent="0.35">
      <c r="A320" s="204" t="s">
        <v>12</v>
      </c>
      <c r="B320" s="205" t="s">
        <v>240</v>
      </c>
      <c r="C320" s="204" t="s">
        <v>7</v>
      </c>
      <c r="D320" s="119">
        <v>46022</v>
      </c>
    </row>
    <row r="321" spans="1:59" ht="30" customHeight="1" x14ac:dyDescent="0.35">
      <c r="A321" s="326" t="s">
        <v>241</v>
      </c>
      <c r="B321" s="326"/>
      <c r="C321" s="326"/>
      <c r="D321" s="326"/>
    </row>
    <row r="322" spans="1:59" ht="31" x14ac:dyDescent="0.35">
      <c r="A322" s="204" t="s">
        <v>15</v>
      </c>
      <c r="B322" s="205" t="s">
        <v>451</v>
      </c>
      <c r="C322" s="204" t="s">
        <v>141</v>
      </c>
      <c r="D322" s="173">
        <f>'[4]К. Беляева 40В'!$D$27</f>
        <v>-155149.70000000001</v>
      </c>
      <c r="J322" s="57" t="s">
        <v>321</v>
      </c>
    </row>
    <row r="323" spans="1:59" ht="16" x14ac:dyDescent="0.35">
      <c r="A323" s="204" t="s">
        <v>18</v>
      </c>
      <c r="B323" s="205" t="s">
        <v>243</v>
      </c>
      <c r="C323" s="204" t="s">
        <v>141</v>
      </c>
      <c r="D323" s="174">
        <v>0</v>
      </c>
    </row>
    <row r="324" spans="1:59" ht="16" x14ac:dyDescent="0.35">
      <c r="A324" s="204" t="s">
        <v>21</v>
      </c>
      <c r="B324" s="203" t="s">
        <v>244</v>
      </c>
      <c r="C324" s="202" t="s">
        <v>141</v>
      </c>
      <c r="D324" s="173">
        <f>[13]Лист_1!$BG$402</f>
        <v>1055291.76</v>
      </c>
    </row>
    <row r="325" spans="1:59" x14ac:dyDescent="0.35">
      <c r="A325" s="317" t="s">
        <v>23</v>
      </c>
      <c r="B325" s="326" t="s">
        <v>245</v>
      </c>
      <c r="C325" s="316" t="s">
        <v>141</v>
      </c>
      <c r="D325" s="373">
        <f>[13]Лист_1!$U$404</f>
        <v>3889543.32</v>
      </c>
    </row>
    <row r="326" spans="1:59" x14ac:dyDescent="0.35">
      <c r="A326" s="317"/>
      <c r="B326" s="326"/>
      <c r="C326" s="316"/>
      <c r="D326" s="374"/>
    </row>
    <row r="327" spans="1:59" x14ac:dyDescent="0.35">
      <c r="A327" s="204" t="s">
        <v>26</v>
      </c>
      <c r="B327" s="145" t="s">
        <v>282</v>
      </c>
      <c r="C327" s="144" t="s">
        <v>141</v>
      </c>
      <c r="D327" s="68">
        <f>[13]Лист_1!$U$406</f>
        <v>3209063.5297690802</v>
      </c>
    </row>
    <row r="328" spans="1:59" x14ac:dyDescent="0.35">
      <c r="A328" s="204" t="s">
        <v>29</v>
      </c>
      <c r="B328" s="145" t="s">
        <v>283</v>
      </c>
      <c r="C328" s="144" t="s">
        <v>141</v>
      </c>
      <c r="D328" s="68">
        <f>[13]Лист_1!$U$407</f>
        <v>680479.79023091961</v>
      </c>
    </row>
    <row r="329" spans="1:59" x14ac:dyDescent="0.35">
      <c r="A329" s="316" t="s">
        <v>31</v>
      </c>
      <c r="B329" s="326" t="s">
        <v>246</v>
      </c>
      <c r="C329" s="316" t="s">
        <v>141</v>
      </c>
      <c r="D329" s="372">
        <f>[13]Лист_1!$BD$402+94412</f>
        <v>12548008.630000001</v>
      </c>
      <c r="F329" s="58"/>
    </row>
    <row r="330" spans="1:59" ht="7.5" customHeight="1" x14ac:dyDescent="0.35">
      <c r="A330" s="316"/>
      <c r="B330" s="326"/>
      <c r="C330" s="316"/>
      <c r="D330" s="372"/>
    </row>
    <row r="331" spans="1:59" hidden="1" x14ac:dyDescent="0.35">
      <c r="A331" s="316"/>
      <c r="B331" s="326"/>
      <c r="C331" s="316"/>
      <c r="D331" s="372"/>
    </row>
    <row r="332" spans="1:59" x14ac:dyDescent="0.35">
      <c r="A332" s="317" t="s">
        <v>34</v>
      </c>
      <c r="B332" s="315" t="s">
        <v>247</v>
      </c>
      <c r="C332" s="317" t="s">
        <v>141</v>
      </c>
      <c r="D332" s="372">
        <f>D329</f>
        <v>12548008.630000001</v>
      </c>
      <c r="F332" s="58"/>
      <c r="K332" s="58" t="e">
        <f>D332-#REF!-#REF!-#REF!</f>
        <v>#REF!</v>
      </c>
      <c r="BF332" s="57" t="s">
        <v>459</v>
      </c>
    </row>
    <row r="333" spans="1:59" ht="2.5" customHeight="1" x14ac:dyDescent="0.35">
      <c r="A333" s="317"/>
      <c r="B333" s="315"/>
      <c r="C333" s="317"/>
      <c r="D333" s="372"/>
    </row>
    <row r="334" spans="1:59" x14ac:dyDescent="0.35">
      <c r="A334" s="204" t="s">
        <v>36</v>
      </c>
      <c r="B334" s="205" t="s">
        <v>330</v>
      </c>
      <c r="C334" s="204" t="s">
        <v>141</v>
      </c>
      <c r="D334" s="85">
        <f>[13]Лист_1!$AU$410</f>
        <v>745615.55</v>
      </c>
      <c r="O334" s="58" t="e">
        <f>D334+D335+D336+#REF!</f>
        <v>#REF!</v>
      </c>
    </row>
    <row r="335" spans="1:59" x14ac:dyDescent="0.35">
      <c r="A335" s="204" t="s">
        <v>38</v>
      </c>
      <c r="B335" s="205" t="s">
        <v>289</v>
      </c>
      <c r="C335" s="204" t="s">
        <v>141</v>
      </c>
      <c r="D335" s="201">
        <f>[13]Лист_1!$AU$412</f>
        <v>5140137.0199999996</v>
      </c>
      <c r="BF335" s="58">
        <f>(D334+D335+D337+D339+D344+D345+D346+D347+D348)+D349</f>
        <v>12191694.560000001</v>
      </c>
      <c r="BG335" s="58">
        <f>BF335-D332</f>
        <v>-356314.0700000003</v>
      </c>
    </row>
    <row r="336" spans="1:59" x14ac:dyDescent="0.35">
      <c r="A336" s="175" t="s">
        <v>40</v>
      </c>
      <c r="B336" s="205" t="s">
        <v>248</v>
      </c>
      <c r="C336" s="204" t="s">
        <v>141</v>
      </c>
      <c r="D336" s="201">
        <v>0</v>
      </c>
    </row>
    <row r="337" spans="1:61" x14ac:dyDescent="0.35">
      <c r="A337" s="175" t="s">
        <v>42</v>
      </c>
      <c r="B337" s="205" t="s">
        <v>457</v>
      </c>
      <c r="C337" s="204" t="str">
        <f>C336</f>
        <v>руб.</v>
      </c>
      <c r="D337" s="68">
        <f>D283+D277+D270+D263+D258</f>
        <v>94412</v>
      </c>
      <c r="G337" s="198"/>
    </row>
    <row r="338" spans="1:61" x14ac:dyDescent="0.35">
      <c r="A338" s="175" t="s">
        <v>44</v>
      </c>
      <c r="B338" s="306" t="s">
        <v>435</v>
      </c>
      <c r="C338" s="307"/>
      <c r="D338" s="308"/>
      <c r="BI338" s="57" t="s">
        <v>452</v>
      </c>
    </row>
    <row r="339" spans="1:61" x14ac:dyDescent="0.35">
      <c r="A339" s="175" t="s">
        <v>458</v>
      </c>
      <c r="B339" s="146" t="s">
        <v>475</v>
      </c>
      <c r="C339" s="204" t="str">
        <f>C336</f>
        <v>руб.</v>
      </c>
      <c r="D339" s="201">
        <f>[13]Лист_1!$AU$404</f>
        <v>4026938.27</v>
      </c>
      <c r="F339" s="58"/>
      <c r="G339" s="58"/>
      <c r="I339" s="57" t="s">
        <v>480</v>
      </c>
      <c r="BI339" s="57" t="s">
        <v>453</v>
      </c>
    </row>
    <row r="340" spans="1:61" ht="31" x14ac:dyDescent="0.35">
      <c r="A340" s="175" t="s">
        <v>464</v>
      </c>
      <c r="B340" s="146" t="s">
        <v>462</v>
      </c>
      <c r="C340" s="204" t="str">
        <f>C339</f>
        <v>руб.</v>
      </c>
      <c r="D340" s="201">
        <f>M128+122823.44</f>
        <v>2396485.4432000001</v>
      </c>
      <c r="F340" s="58"/>
      <c r="G340" s="58"/>
    </row>
    <row r="341" spans="1:61" ht="31" x14ac:dyDescent="0.35">
      <c r="A341" s="175" t="s">
        <v>465</v>
      </c>
      <c r="B341" s="146" t="s">
        <v>456</v>
      </c>
      <c r="C341" s="204" t="str">
        <f>C340</f>
        <v>руб.</v>
      </c>
      <c r="D341" s="201">
        <f>H104</f>
        <v>80521.937157120003</v>
      </c>
      <c r="BI341" s="57" t="s">
        <v>454</v>
      </c>
    </row>
    <row r="342" spans="1:61" ht="46.5" x14ac:dyDescent="0.35">
      <c r="A342" s="175" t="s">
        <v>466</v>
      </c>
      <c r="B342" s="146" t="s">
        <v>463</v>
      </c>
      <c r="C342" s="204" t="str">
        <f>C341</f>
        <v>руб.</v>
      </c>
      <c r="D342" s="201">
        <f>H131</f>
        <v>845413.70879999991</v>
      </c>
      <c r="BF342" s="58">
        <f>D340+D341+D342+D343</f>
        <v>4026938.2737716017</v>
      </c>
      <c r="BG342" s="57">
        <v>4120303.1052187206</v>
      </c>
      <c r="BI342" s="57" t="s">
        <v>455</v>
      </c>
    </row>
    <row r="343" spans="1:61" x14ac:dyDescent="0.35">
      <c r="A343" s="175" t="s">
        <v>467</v>
      </c>
      <c r="B343" s="146" t="s">
        <v>460</v>
      </c>
      <c r="C343" s="204" t="str">
        <f>C342</f>
        <v>руб.</v>
      </c>
      <c r="D343" s="201">
        <f>[13]Лист_1!$AU$407</f>
        <v>704517.18461448129</v>
      </c>
      <c r="BF343" s="58">
        <f>BF342-D339</f>
        <v>3.7716017104685307E-3</v>
      </c>
      <c r="BG343" s="58">
        <f>BG342-D339</f>
        <v>93364.835218720604</v>
      </c>
    </row>
    <row r="344" spans="1:61" x14ac:dyDescent="0.35">
      <c r="A344" s="175" t="s">
        <v>468</v>
      </c>
      <c r="B344" s="146" t="s">
        <v>432</v>
      </c>
      <c r="C344" s="204" t="s">
        <v>141</v>
      </c>
      <c r="D344" s="85">
        <f>[13]Лист_1!$AO$404</f>
        <v>1932497</v>
      </c>
    </row>
    <row r="345" spans="1:61" x14ac:dyDescent="0.35">
      <c r="A345" s="175" t="s">
        <v>469</v>
      </c>
      <c r="B345" s="146" t="s">
        <v>433</v>
      </c>
      <c r="C345" s="204" t="s">
        <v>141</v>
      </c>
      <c r="D345" s="201">
        <f>[13]Лист_1!$AP$404</f>
        <v>135418.95000000001</v>
      </c>
      <c r="BH345" s="57">
        <f>D342/12</f>
        <v>70451.142399999997</v>
      </c>
    </row>
    <row r="346" spans="1:61" x14ac:dyDescent="0.35">
      <c r="A346" s="175" t="s">
        <v>470</v>
      </c>
      <c r="B346" s="146" t="s">
        <v>447</v>
      </c>
      <c r="C346" s="204" t="s">
        <v>141</v>
      </c>
      <c r="D346" s="201">
        <f>[13]Лист_1!$AR$404</f>
        <v>35100</v>
      </c>
    </row>
    <row r="347" spans="1:61" x14ac:dyDescent="0.35">
      <c r="A347" s="175" t="s">
        <v>471</v>
      </c>
      <c r="B347" s="146" t="s">
        <v>474</v>
      </c>
      <c r="C347" s="204" t="s">
        <v>141</v>
      </c>
      <c r="D347" s="201">
        <f>[13]Лист_1!$AT$404</f>
        <v>394963.97</v>
      </c>
    </row>
    <row r="348" spans="1:61" x14ac:dyDescent="0.35">
      <c r="A348" s="175" t="s">
        <v>472</v>
      </c>
      <c r="B348" s="146" t="s">
        <v>434</v>
      </c>
      <c r="C348" s="204" t="s">
        <v>141</v>
      </c>
      <c r="D348" s="201">
        <f>[13]Лист_1!$AW$404</f>
        <v>21875.25</v>
      </c>
    </row>
    <row r="349" spans="1:61" ht="29" customHeight="1" x14ac:dyDescent="0.35">
      <c r="A349" s="175" t="s">
        <v>473</v>
      </c>
      <c r="B349" s="205" t="s">
        <v>479</v>
      </c>
      <c r="C349" s="204" t="s">
        <v>141</v>
      </c>
      <c r="D349" s="201">
        <f>[13]Лист_1!$BA$404</f>
        <v>-335263.45</v>
      </c>
    </row>
    <row r="350" spans="1:61" x14ac:dyDescent="0.35">
      <c r="A350" s="204" t="s">
        <v>46</v>
      </c>
      <c r="B350" s="205" t="s">
        <v>461</v>
      </c>
      <c r="C350" s="204" t="s">
        <v>141</v>
      </c>
      <c r="D350" s="201">
        <f>[13]Лист_1!$BG$402</f>
        <v>1055291.76</v>
      </c>
    </row>
    <row r="351" spans="1:61" ht="31" x14ac:dyDescent="0.35">
      <c r="A351" s="204" t="s">
        <v>49</v>
      </c>
      <c r="B351" s="205" t="s">
        <v>301</v>
      </c>
      <c r="C351" s="204" t="s">
        <v>141</v>
      </c>
      <c r="D351" s="68">
        <f>'[4]К. Беляева 40В'!$D$85</f>
        <v>-219064.7378855187</v>
      </c>
      <c r="J351" s="57" t="s">
        <v>331</v>
      </c>
    </row>
    <row r="352" spans="1:61" x14ac:dyDescent="0.35">
      <c r="A352" s="204" t="s">
        <v>51</v>
      </c>
      <c r="B352" s="205" t="s">
        <v>243</v>
      </c>
      <c r="C352" s="204" t="s">
        <v>141</v>
      </c>
      <c r="D352" s="56">
        <v>0</v>
      </c>
    </row>
    <row r="353" spans="1:11" ht="16" hidden="1" x14ac:dyDescent="0.35">
      <c r="A353" s="147" t="s">
        <v>51</v>
      </c>
      <c r="B353" s="148" t="s">
        <v>251</v>
      </c>
      <c r="C353" s="149" t="s">
        <v>141</v>
      </c>
      <c r="D353" s="150">
        <v>7791.29</v>
      </c>
    </row>
    <row r="354" spans="1:11" hidden="1" x14ac:dyDescent="0.35"/>
    <row r="355" spans="1:11" hidden="1" x14ac:dyDescent="0.35"/>
    <row r="356" spans="1:11" s="64" customFormat="1" ht="25.5" customHeight="1" x14ac:dyDescent="0.35">
      <c r="A356" s="331" t="s">
        <v>253</v>
      </c>
      <c r="B356" s="331"/>
      <c r="C356" s="331"/>
      <c r="D356" s="331"/>
    </row>
    <row r="357" spans="1:11" s="64" customFormat="1" hidden="1" x14ac:dyDescent="0.35">
      <c r="A357" s="151"/>
      <c r="B357" s="151"/>
      <c r="C357" s="151"/>
      <c r="D357" s="151"/>
    </row>
    <row r="358" spans="1:11" s="64" customFormat="1" x14ac:dyDescent="0.35">
      <c r="A358" s="204">
        <v>1</v>
      </c>
      <c r="B358" s="205" t="s">
        <v>254</v>
      </c>
      <c r="C358" s="204" t="s">
        <v>33</v>
      </c>
      <c r="D358" s="91">
        <v>12</v>
      </c>
      <c r="K358" s="64" t="s">
        <v>322</v>
      </c>
    </row>
    <row r="359" spans="1:11" s="64" customFormat="1" x14ac:dyDescent="0.35">
      <c r="A359" s="204"/>
      <c r="B359" s="205" t="s">
        <v>442</v>
      </c>
      <c r="C359" s="204"/>
      <c r="D359" s="85">
        <v>30210</v>
      </c>
    </row>
    <row r="360" spans="1:11" s="64" customFormat="1" x14ac:dyDescent="0.35">
      <c r="A360" s="204">
        <v>2</v>
      </c>
      <c r="B360" s="205" t="s">
        <v>255</v>
      </c>
      <c r="C360" s="204" t="s">
        <v>33</v>
      </c>
      <c r="D360" s="91">
        <v>0</v>
      </c>
    </row>
    <row r="361" spans="1:11" s="64" customFormat="1" ht="31" x14ac:dyDescent="0.35">
      <c r="A361" s="204">
        <v>3</v>
      </c>
      <c r="B361" s="205" t="s">
        <v>256</v>
      </c>
      <c r="C361" s="204" t="s">
        <v>141</v>
      </c>
      <c r="D361" s="91">
        <v>0</v>
      </c>
    </row>
    <row r="362" spans="1:11" s="64" customFormat="1" x14ac:dyDescent="0.35">
      <c r="A362" s="152"/>
      <c r="B362" s="153"/>
      <c r="C362" s="153"/>
      <c r="D362" s="152"/>
      <c r="E362" s="152"/>
      <c r="F362" s="152"/>
      <c r="G362" s="278"/>
    </row>
  </sheetData>
  <mergeCells count="200">
    <mergeCell ref="D153:H153"/>
    <mergeCell ref="D154:H154"/>
    <mergeCell ref="D155:H155"/>
    <mergeCell ref="D156:H156"/>
    <mergeCell ref="D157:H157"/>
    <mergeCell ref="D158:H158"/>
    <mergeCell ref="A166:H166"/>
    <mergeCell ref="D146:H146"/>
    <mergeCell ref="B147:B148"/>
    <mergeCell ref="C147:C148"/>
    <mergeCell ref="D147:H147"/>
    <mergeCell ref="D148:H148"/>
    <mergeCell ref="D149:H149"/>
    <mergeCell ref="D150:H150"/>
    <mergeCell ref="D151:H151"/>
    <mergeCell ref="D152:H152"/>
    <mergeCell ref="D159:H160"/>
    <mergeCell ref="B133:B134"/>
    <mergeCell ref="C133:C134"/>
    <mergeCell ref="D133:H134"/>
    <mergeCell ref="D135:H135"/>
    <mergeCell ref="D136:H136"/>
    <mergeCell ref="D137:H137"/>
    <mergeCell ref="D138:H138"/>
    <mergeCell ref="D139:H139"/>
    <mergeCell ref="D140:H140"/>
    <mergeCell ref="A325:A326"/>
    <mergeCell ref="B325:B326"/>
    <mergeCell ref="C325:C326"/>
    <mergeCell ref="D325:D326"/>
    <mergeCell ref="A329:A331"/>
    <mergeCell ref="B329:B331"/>
    <mergeCell ref="C329:C331"/>
    <mergeCell ref="D329:D331"/>
    <mergeCell ref="D205:H205"/>
    <mergeCell ref="D206:H206"/>
    <mergeCell ref="D207:H207"/>
    <mergeCell ref="D208:H208"/>
    <mergeCell ref="D209:H209"/>
    <mergeCell ref="B316:B317"/>
    <mergeCell ref="C316:C317"/>
    <mergeCell ref="D316:D317"/>
    <mergeCell ref="D234:H234"/>
    <mergeCell ref="D235:H235"/>
    <mergeCell ref="D198:H198"/>
    <mergeCell ref="D199:H199"/>
    <mergeCell ref="D200:H200"/>
    <mergeCell ref="D201:H201"/>
    <mergeCell ref="D202:H202"/>
    <mergeCell ref="D203:H203"/>
    <mergeCell ref="D204:H204"/>
    <mergeCell ref="A300:D300"/>
    <mergeCell ref="A321:D321"/>
    <mergeCell ref="B237:H237"/>
    <mergeCell ref="D238:H238"/>
    <mergeCell ref="D239:H239"/>
    <mergeCell ref="D240:H240"/>
    <mergeCell ref="D241:H241"/>
    <mergeCell ref="D242:H242"/>
    <mergeCell ref="D243:H243"/>
    <mergeCell ref="D244:H244"/>
    <mergeCell ref="D227:H227"/>
    <mergeCell ref="D228:H228"/>
    <mergeCell ref="D229:H229"/>
    <mergeCell ref="D230:H230"/>
    <mergeCell ref="D231:H231"/>
    <mergeCell ref="D232:H232"/>
    <mergeCell ref="D233:H233"/>
    <mergeCell ref="B338:D338"/>
    <mergeCell ref="B200:B201"/>
    <mergeCell ref="C200:C201"/>
    <mergeCell ref="D210:H210"/>
    <mergeCell ref="D211:H211"/>
    <mergeCell ref="D212:H212"/>
    <mergeCell ref="D213:H213"/>
    <mergeCell ref="B214:B215"/>
    <mergeCell ref="C214:C215"/>
    <mergeCell ref="D214:H214"/>
    <mergeCell ref="D215:H215"/>
    <mergeCell ref="D216:H216"/>
    <mergeCell ref="D217:H217"/>
    <mergeCell ref="D218:H218"/>
    <mergeCell ref="D219:H219"/>
    <mergeCell ref="B302:B303"/>
    <mergeCell ref="C302:C303"/>
    <mergeCell ref="D302:D303"/>
    <mergeCell ref="A315:D315"/>
    <mergeCell ref="A285:D285"/>
    <mergeCell ref="B287:B288"/>
    <mergeCell ref="C287:C288"/>
    <mergeCell ref="D287:D288"/>
    <mergeCell ref="A289:D289"/>
    <mergeCell ref="D186:H186"/>
    <mergeCell ref="D187:H187"/>
    <mergeCell ref="D188:H188"/>
    <mergeCell ref="D189:H189"/>
    <mergeCell ref="D190:H190"/>
    <mergeCell ref="D191:H191"/>
    <mergeCell ref="D192:H192"/>
    <mergeCell ref="D193:H193"/>
    <mergeCell ref="D194:H194"/>
    <mergeCell ref="D195:H195"/>
    <mergeCell ref="D332:D333"/>
    <mergeCell ref="B190:B191"/>
    <mergeCell ref="C190:C191"/>
    <mergeCell ref="D220:H220"/>
    <mergeCell ref="D221:H221"/>
    <mergeCell ref="D222:H222"/>
    <mergeCell ref="D223:H223"/>
    <mergeCell ref="D224:H224"/>
    <mergeCell ref="D225:H225"/>
    <mergeCell ref="D226:H226"/>
    <mergeCell ref="A250:D250"/>
    <mergeCell ref="B252:B253"/>
    <mergeCell ref="C252:C253"/>
    <mergeCell ref="D252:D253"/>
    <mergeCell ref="A274:A275"/>
    <mergeCell ref="B274:B275"/>
    <mergeCell ref="C274:C275"/>
    <mergeCell ref="D274:D275"/>
    <mergeCell ref="A332:A333"/>
    <mergeCell ref="B332:B333"/>
    <mergeCell ref="C332:C333"/>
    <mergeCell ref="D196:H196"/>
    <mergeCell ref="D197:H197"/>
    <mergeCell ref="D181:H181"/>
    <mergeCell ref="D182:H182"/>
    <mergeCell ref="D183:H183"/>
    <mergeCell ref="D184:H184"/>
    <mergeCell ref="D185:H185"/>
    <mergeCell ref="B183:B184"/>
    <mergeCell ref="C183:C184"/>
    <mergeCell ref="D178:H178"/>
    <mergeCell ref="D179:H179"/>
    <mergeCell ref="D180:H180"/>
    <mergeCell ref="D171:H171"/>
    <mergeCell ref="D172:H172"/>
    <mergeCell ref="D173:H173"/>
    <mergeCell ref="D174:H174"/>
    <mergeCell ref="D175:H175"/>
    <mergeCell ref="D176:H176"/>
    <mergeCell ref="D177:H177"/>
    <mergeCell ref="D167:H167"/>
    <mergeCell ref="D168:H168"/>
    <mergeCell ref="D169:H169"/>
    <mergeCell ref="D170:H170"/>
    <mergeCell ref="A1:D1"/>
    <mergeCell ref="A2:D2"/>
    <mergeCell ref="A3:D3"/>
    <mergeCell ref="B4:B5"/>
    <mergeCell ref="C4:C5"/>
    <mergeCell ref="D4:D5"/>
    <mergeCell ref="A7:D7"/>
    <mergeCell ref="A42:D42"/>
    <mergeCell ref="A44:D44"/>
    <mergeCell ref="A98:D98"/>
    <mergeCell ref="A47:D47"/>
    <mergeCell ref="A49:D49"/>
    <mergeCell ref="A52:D52"/>
    <mergeCell ref="A54:D54"/>
    <mergeCell ref="A10:D10"/>
    <mergeCell ref="A12:D12"/>
    <mergeCell ref="A33:D33"/>
    <mergeCell ref="A38:D38"/>
    <mergeCell ref="B39:B40"/>
    <mergeCell ref="C39:C40"/>
    <mergeCell ref="D39:D40"/>
    <mergeCell ref="A92:D92"/>
    <mergeCell ref="A94:D94"/>
    <mergeCell ref="A57:D57"/>
    <mergeCell ref="A67:D67"/>
    <mergeCell ref="A74:D74"/>
    <mergeCell ref="A81:D81"/>
    <mergeCell ref="A88:D88"/>
    <mergeCell ref="A90:D90"/>
    <mergeCell ref="A96:D96"/>
    <mergeCell ref="A356:D356"/>
    <mergeCell ref="D161:H161"/>
    <mergeCell ref="D162:H162"/>
    <mergeCell ref="D163:H163"/>
    <mergeCell ref="D164:H164"/>
    <mergeCell ref="D165:H165"/>
    <mergeCell ref="A101:H101"/>
    <mergeCell ref="B102:B103"/>
    <mergeCell ref="C102:C103"/>
    <mergeCell ref="B159:B160"/>
    <mergeCell ref="C159:C160"/>
    <mergeCell ref="B141:B142"/>
    <mergeCell ref="C141:C142"/>
    <mergeCell ref="D141:H141"/>
    <mergeCell ref="D142:H142"/>
    <mergeCell ref="D143:H143"/>
    <mergeCell ref="D144:H144"/>
    <mergeCell ref="D145:H145"/>
    <mergeCell ref="B153:B154"/>
    <mergeCell ref="C153:C154"/>
    <mergeCell ref="A190:A191"/>
    <mergeCell ref="D245:H245"/>
    <mergeCell ref="D248:H248"/>
    <mergeCell ref="D236:H236"/>
  </mergeCells>
  <dataValidations disablePrompts="1" count="2">
    <dataValidation type="list" allowBlank="1" showInputMessage="1" showErrorMessage="1" sqref="B104:B132" xr:uid="{59469C9F-9648-4900-9656-D4D898A7A85A}">
      <formula1>#REF!</formula1>
    </dataValidation>
    <dataValidation type="list" allowBlank="1" showInputMessage="1" showErrorMessage="1" sqref="B104:B132" xr:uid="{600DCD47-209F-4A1D-8A2F-3D4B6A0246C9}">
      <formula1>Справочник_работ_и_услуг</formula1>
    </dataValidation>
  </dataValidations>
  <pageMargins left="0.70866141732283472" right="0.31496062992125984" top="0.15748031496062992" bottom="0.15748031496062992" header="0.31496062992125984" footer="0.31496062992125984"/>
  <pageSetup paperSize="9" scale="54" fitToHeight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B9720-5F74-4BE2-89A6-AF73489F6AC9}">
  <sheetPr>
    <pageSetUpPr fitToPage="1"/>
  </sheetPr>
  <dimension ref="A1:BG364"/>
  <sheetViews>
    <sheetView topLeftCell="A346" zoomScale="55" zoomScaleNormal="55" workbookViewId="0">
      <selection activeCell="H364" sqref="A1:H364"/>
    </sheetView>
  </sheetViews>
  <sheetFormatPr defaultRowHeight="15.5" x14ac:dyDescent="0.35"/>
  <cols>
    <col min="1" max="1" width="16.1796875" style="131" customWidth="1"/>
    <col min="2" max="2" width="63.1796875" style="57" customWidth="1"/>
    <col min="3" max="3" width="8.7265625" style="57"/>
    <col min="4" max="4" width="34.1796875" style="57" customWidth="1"/>
    <col min="5" max="5" width="8.7265625" style="57"/>
    <col min="6" max="6" width="16" style="57" customWidth="1"/>
    <col min="7" max="7" width="8.7265625" style="57"/>
    <col min="8" max="8" width="18.453125" style="57" customWidth="1"/>
    <col min="9" max="10" width="0" style="57" hidden="1" customWidth="1"/>
    <col min="11" max="12" width="9.36328125" style="57" hidden="1" customWidth="1"/>
    <col min="13" max="57" width="0" style="57" hidden="1" customWidth="1"/>
    <col min="58" max="16384" width="8.7265625" style="57"/>
  </cols>
  <sheetData>
    <row r="1" spans="1:4" s="62" customFormat="1" ht="63.75" customHeight="1" x14ac:dyDescent="0.35">
      <c r="A1" s="379" t="s">
        <v>336</v>
      </c>
      <c r="B1" s="379"/>
      <c r="C1" s="379"/>
      <c r="D1" s="379"/>
    </row>
    <row r="2" spans="1:4" x14ac:dyDescent="0.35">
      <c r="A2" s="313" t="s">
        <v>337</v>
      </c>
      <c r="B2" s="313"/>
      <c r="C2" s="313"/>
      <c r="D2" s="313"/>
    </row>
    <row r="3" spans="1:4" ht="16" thickBot="1" x14ac:dyDescent="0.4">
      <c r="A3" s="314" t="s">
        <v>487</v>
      </c>
      <c r="B3" s="314"/>
      <c r="C3" s="314"/>
      <c r="D3" s="314"/>
    </row>
    <row r="4" spans="1:4" ht="43" customHeight="1" x14ac:dyDescent="0.35">
      <c r="A4" s="92" t="s">
        <v>0</v>
      </c>
      <c r="B4" s="457" t="s">
        <v>2</v>
      </c>
      <c r="C4" s="457" t="s">
        <v>3</v>
      </c>
      <c r="D4" s="458" t="s">
        <v>4</v>
      </c>
    </row>
    <row r="5" spans="1:4" x14ac:dyDescent="0.35">
      <c r="A5" s="93" t="s">
        <v>1</v>
      </c>
      <c r="B5" s="459"/>
      <c r="C5" s="459"/>
      <c r="D5" s="352"/>
    </row>
    <row r="6" spans="1:4" x14ac:dyDescent="0.35">
      <c r="A6" s="94" t="s">
        <v>5</v>
      </c>
      <c r="B6" s="290" t="s">
        <v>6</v>
      </c>
      <c r="C6" s="289" t="s">
        <v>7</v>
      </c>
      <c r="D6" s="455">
        <v>46073</v>
      </c>
    </row>
    <row r="7" spans="1:4" ht="21" customHeight="1" x14ac:dyDescent="0.35">
      <c r="A7" s="460" t="s">
        <v>8</v>
      </c>
      <c r="B7" s="307"/>
      <c r="C7" s="307"/>
      <c r="D7" s="461"/>
    </row>
    <row r="8" spans="1:4" ht="35" customHeight="1" x14ac:dyDescent="0.35">
      <c r="A8" s="94" t="s">
        <v>9</v>
      </c>
      <c r="B8" s="290" t="s">
        <v>10</v>
      </c>
      <c r="C8" s="289" t="s">
        <v>7</v>
      </c>
      <c r="D8" s="462" t="s">
        <v>332</v>
      </c>
    </row>
    <row r="9" spans="1:4" x14ac:dyDescent="0.35">
      <c r="A9" s="94" t="s">
        <v>12</v>
      </c>
      <c r="B9" s="290" t="s">
        <v>13</v>
      </c>
      <c r="C9" s="289" t="s">
        <v>7</v>
      </c>
      <c r="D9" s="294"/>
    </row>
    <row r="10" spans="1:4" ht="15" customHeight="1" x14ac:dyDescent="0.35">
      <c r="A10" s="460" t="s">
        <v>14</v>
      </c>
      <c r="B10" s="307"/>
      <c r="C10" s="307"/>
      <c r="D10" s="461"/>
    </row>
    <row r="11" spans="1:4" x14ac:dyDescent="0.35">
      <c r="A11" s="94" t="s">
        <v>15</v>
      </c>
      <c r="B11" s="290" t="s">
        <v>16</v>
      </c>
      <c r="C11" s="289" t="s">
        <v>7</v>
      </c>
      <c r="D11" s="462" t="s">
        <v>257</v>
      </c>
    </row>
    <row r="12" spans="1:4" ht="13" customHeight="1" x14ac:dyDescent="0.35">
      <c r="A12" s="460" t="s">
        <v>17</v>
      </c>
      <c r="B12" s="307"/>
      <c r="C12" s="307"/>
      <c r="D12" s="461"/>
    </row>
    <row r="13" spans="1:4" x14ac:dyDescent="0.35">
      <c r="A13" s="94" t="s">
        <v>18</v>
      </c>
      <c r="B13" s="290" t="s">
        <v>19</v>
      </c>
      <c r="C13" s="289" t="s">
        <v>7</v>
      </c>
      <c r="D13" s="463" t="s">
        <v>287</v>
      </c>
    </row>
    <row r="14" spans="1:4" x14ac:dyDescent="0.35">
      <c r="A14" s="94" t="s">
        <v>21</v>
      </c>
      <c r="B14" s="290" t="s">
        <v>22</v>
      </c>
      <c r="C14" s="289" t="s">
        <v>7</v>
      </c>
      <c r="D14" s="462">
        <v>2010</v>
      </c>
    </row>
    <row r="15" spans="1:4" x14ac:dyDescent="0.35">
      <c r="A15" s="94" t="s">
        <v>23</v>
      </c>
      <c r="B15" s="290" t="s">
        <v>24</v>
      </c>
      <c r="C15" s="289" t="s">
        <v>7</v>
      </c>
      <c r="D15" s="462" t="s">
        <v>25</v>
      </c>
    </row>
    <row r="16" spans="1:4" x14ac:dyDescent="0.35">
      <c r="A16" s="94" t="s">
        <v>26</v>
      </c>
      <c r="B16" s="290" t="s">
        <v>27</v>
      </c>
      <c r="C16" s="289" t="s">
        <v>7</v>
      </c>
      <c r="D16" s="462" t="s">
        <v>28</v>
      </c>
    </row>
    <row r="17" spans="1:4" x14ac:dyDescent="0.35">
      <c r="A17" s="94" t="s">
        <v>29</v>
      </c>
      <c r="B17" s="290" t="s">
        <v>30</v>
      </c>
      <c r="C17" s="289" t="s">
        <v>7</v>
      </c>
      <c r="D17" s="462">
        <v>25</v>
      </c>
    </row>
    <row r="18" spans="1:4" x14ac:dyDescent="0.35">
      <c r="A18" s="94" t="s">
        <v>31</v>
      </c>
      <c r="B18" s="95" t="s">
        <v>32</v>
      </c>
      <c r="C18" s="289" t="s">
        <v>33</v>
      </c>
      <c r="D18" s="462">
        <v>25</v>
      </c>
    </row>
    <row r="19" spans="1:4" x14ac:dyDescent="0.35">
      <c r="A19" s="94" t="s">
        <v>34</v>
      </c>
      <c r="B19" s="95" t="s">
        <v>35</v>
      </c>
      <c r="C19" s="289" t="s">
        <v>33</v>
      </c>
      <c r="D19" s="462">
        <v>1</v>
      </c>
    </row>
    <row r="20" spans="1:4" x14ac:dyDescent="0.35">
      <c r="A20" s="94" t="s">
        <v>36</v>
      </c>
      <c r="B20" s="290" t="s">
        <v>37</v>
      </c>
      <c r="C20" s="289" t="s">
        <v>33</v>
      </c>
      <c r="D20" s="462">
        <v>1</v>
      </c>
    </row>
    <row r="21" spans="1:4" x14ac:dyDescent="0.35">
      <c r="A21" s="94" t="s">
        <v>38</v>
      </c>
      <c r="B21" s="290" t="s">
        <v>39</v>
      </c>
      <c r="C21" s="289" t="s">
        <v>33</v>
      </c>
      <c r="D21" s="462">
        <v>3</v>
      </c>
    </row>
    <row r="22" spans="1:4" x14ac:dyDescent="0.35">
      <c r="A22" s="94" t="s">
        <v>40</v>
      </c>
      <c r="B22" s="290" t="s">
        <v>41</v>
      </c>
      <c r="C22" s="289" t="s">
        <v>7</v>
      </c>
      <c r="D22" s="462"/>
    </row>
    <row r="23" spans="1:4" x14ac:dyDescent="0.35">
      <c r="A23" s="94" t="s">
        <v>42</v>
      </c>
      <c r="B23" s="95" t="s">
        <v>43</v>
      </c>
      <c r="C23" s="289" t="s">
        <v>33</v>
      </c>
      <c r="D23" s="462">
        <v>192</v>
      </c>
    </row>
    <row r="24" spans="1:4" x14ac:dyDescent="0.35">
      <c r="A24" s="94" t="s">
        <v>44</v>
      </c>
      <c r="B24" s="95" t="s">
        <v>45</v>
      </c>
      <c r="C24" s="289" t="s">
        <v>33</v>
      </c>
      <c r="D24" s="462">
        <v>4</v>
      </c>
    </row>
    <row r="25" spans="1:4" x14ac:dyDescent="0.35">
      <c r="A25" s="94" t="s">
        <v>46</v>
      </c>
      <c r="B25" s="290" t="s">
        <v>47</v>
      </c>
      <c r="C25" s="289" t="s">
        <v>48</v>
      </c>
      <c r="D25" s="462">
        <v>16385.509999999998</v>
      </c>
    </row>
    <row r="26" spans="1:4" x14ac:dyDescent="0.35">
      <c r="A26" s="94" t="s">
        <v>49</v>
      </c>
      <c r="B26" s="95" t="s">
        <v>50</v>
      </c>
      <c r="C26" s="289" t="s">
        <v>48</v>
      </c>
      <c r="D26" s="462">
        <v>12128.4</v>
      </c>
    </row>
    <row r="27" spans="1:4" x14ac:dyDescent="0.35">
      <c r="A27" s="94" t="s">
        <v>51</v>
      </c>
      <c r="B27" s="95" t="s">
        <v>52</v>
      </c>
      <c r="C27" s="289" t="s">
        <v>48</v>
      </c>
      <c r="D27" s="462">
        <v>583.5</v>
      </c>
    </row>
    <row r="28" spans="1:4" ht="31" x14ac:dyDescent="0.35">
      <c r="A28" s="94" t="s">
        <v>53</v>
      </c>
      <c r="B28" s="95" t="s">
        <v>54</v>
      </c>
      <c r="C28" s="289" t="s">
        <v>48</v>
      </c>
      <c r="D28" s="462">
        <v>3673.2</v>
      </c>
    </row>
    <row r="29" spans="1:4" ht="31" x14ac:dyDescent="0.35">
      <c r="A29" s="94" t="s">
        <v>55</v>
      </c>
      <c r="B29" s="290" t="s">
        <v>56</v>
      </c>
      <c r="C29" s="289" t="s">
        <v>7</v>
      </c>
      <c r="D29" s="462" t="s">
        <v>288</v>
      </c>
    </row>
    <row r="30" spans="1:4" ht="31" x14ac:dyDescent="0.35">
      <c r="A30" s="94" t="s">
        <v>57</v>
      </c>
      <c r="B30" s="290" t="s">
        <v>58</v>
      </c>
      <c r="C30" s="289" t="s">
        <v>48</v>
      </c>
      <c r="D30" s="462">
        <v>4413</v>
      </c>
    </row>
    <row r="31" spans="1:4" x14ac:dyDescent="0.35">
      <c r="A31" s="94" t="s">
        <v>59</v>
      </c>
      <c r="B31" s="290" t="s">
        <v>60</v>
      </c>
      <c r="C31" s="289" t="s">
        <v>48</v>
      </c>
      <c r="D31" s="462">
        <v>756</v>
      </c>
    </row>
    <row r="32" spans="1:4" x14ac:dyDescent="0.35">
      <c r="A32" s="94" t="s">
        <v>61</v>
      </c>
      <c r="B32" s="290" t="s">
        <v>62</v>
      </c>
      <c r="C32" s="289" t="s">
        <v>7</v>
      </c>
      <c r="D32" s="462" t="s">
        <v>63</v>
      </c>
    </row>
    <row r="33" spans="1:4" ht="15.5" customHeight="1" x14ac:dyDescent="0.35">
      <c r="A33" s="460" t="s">
        <v>64</v>
      </c>
      <c r="B33" s="307"/>
      <c r="C33" s="307"/>
      <c r="D33" s="461"/>
    </row>
    <row r="34" spans="1:4" x14ac:dyDescent="0.35">
      <c r="A34" s="94" t="s">
        <v>65</v>
      </c>
      <c r="B34" s="290" t="s">
        <v>66</v>
      </c>
      <c r="C34" s="289" t="s">
        <v>7</v>
      </c>
      <c r="D34" s="462" t="s">
        <v>67</v>
      </c>
    </row>
    <row r="35" spans="1:4" x14ac:dyDescent="0.35">
      <c r="A35" s="94" t="s">
        <v>68</v>
      </c>
      <c r="B35" s="290" t="s">
        <v>69</v>
      </c>
      <c r="C35" s="289" t="s">
        <v>7</v>
      </c>
      <c r="D35" s="462" t="s">
        <v>67</v>
      </c>
    </row>
    <row r="36" spans="1:4" x14ac:dyDescent="0.35">
      <c r="A36" s="94" t="s">
        <v>70</v>
      </c>
      <c r="B36" s="290" t="s">
        <v>259</v>
      </c>
      <c r="C36" s="289" t="s">
        <v>7</v>
      </c>
      <c r="D36" s="462">
        <v>62</v>
      </c>
    </row>
    <row r="37" spans="1:4" ht="15.5" customHeight="1" x14ac:dyDescent="0.35">
      <c r="A37" s="464"/>
      <c r="B37" s="91"/>
      <c r="C37" s="91"/>
      <c r="D37" s="112"/>
    </row>
    <row r="38" spans="1:4" ht="33" customHeight="1" x14ac:dyDescent="0.35">
      <c r="A38" s="465" t="s">
        <v>71</v>
      </c>
      <c r="B38" s="466"/>
      <c r="C38" s="466"/>
      <c r="D38" s="467"/>
    </row>
    <row r="39" spans="1:4" ht="15.5" customHeight="1" x14ac:dyDescent="0.35">
      <c r="A39" s="468" t="s">
        <v>0</v>
      </c>
      <c r="B39" s="469" t="s">
        <v>2</v>
      </c>
      <c r="C39" s="469" t="s">
        <v>3</v>
      </c>
      <c r="D39" s="470" t="s">
        <v>4</v>
      </c>
    </row>
    <row r="40" spans="1:4" ht="15.5" customHeight="1" x14ac:dyDescent="0.35">
      <c r="A40" s="110" t="s">
        <v>1</v>
      </c>
      <c r="B40" s="351"/>
      <c r="C40" s="351"/>
      <c r="D40" s="471"/>
    </row>
    <row r="41" spans="1:4" ht="15.5" customHeight="1" x14ac:dyDescent="0.35">
      <c r="A41" s="111" t="s">
        <v>5</v>
      </c>
      <c r="B41" s="292" t="s">
        <v>6</v>
      </c>
      <c r="C41" s="291" t="s">
        <v>7</v>
      </c>
      <c r="D41" s="455">
        <v>46073</v>
      </c>
    </row>
    <row r="42" spans="1:4" ht="15.5" customHeight="1" x14ac:dyDescent="0.35">
      <c r="A42" s="460" t="s">
        <v>72</v>
      </c>
      <c r="B42" s="307"/>
      <c r="C42" s="307"/>
      <c r="D42" s="461"/>
    </row>
    <row r="43" spans="1:4" ht="16" customHeight="1" x14ac:dyDescent="0.35">
      <c r="A43" s="111" t="s">
        <v>9</v>
      </c>
      <c r="B43" s="292" t="s">
        <v>73</v>
      </c>
      <c r="C43" s="291" t="s">
        <v>7</v>
      </c>
      <c r="D43" s="472" t="s">
        <v>74</v>
      </c>
    </row>
    <row r="44" spans="1:4" ht="15.5" customHeight="1" x14ac:dyDescent="0.35">
      <c r="A44" s="460" t="s">
        <v>75</v>
      </c>
      <c r="B44" s="307"/>
      <c r="C44" s="307"/>
      <c r="D44" s="461"/>
    </row>
    <row r="45" spans="1:4" ht="16" customHeight="1" x14ac:dyDescent="0.35">
      <c r="A45" s="111" t="s">
        <v>12</v>
      </c>
      <c r="B45" s="292" t="s">
        <v>76</v>
      </c>
      <c r="C45" s="291" t="s">
        <v>7</v>
      </c>
      <c r="D45" s="472" t="s">
        <v>77</v>
      </c>
    </row>
    <row r="46" spans="1:4" ht="16" customHeight="1" x14ac:dyDescent="0.35">
      <c r="A46" s="111" t="s">
        <v>15</v>
      </c>
      <c r="B46" s="292" t="s">
        <v>78</v>
      </c>
      <c r="C46" s="291" t="s">
        <v>7</v>
      </c>
      <c r="D46" s="472" t="s">
        <v>79</v>
      </c>
    </row>
    <row r="47" spans="1:4" ht="15.5" customHeight="1" x14ac:dyDescent="0.35">
      <c r="A47" s="460" t="s">
        <v>80</v>
      </c>
      <c r="B47" s="307"/>
      <c r="C47" s="307"/>
      <c r="D47" s="461"/>
    </row>
    <row r="48" spans="1:4" ht="16" customHeight="1" x14ac:dyDescent="0.35">
      <c r="A48" s="111" t="s">
        <v>18</v>
      </c>
      <c r="B48" s="292" t="s">
        <v>81</v>
      </c>
      <c r="C48" s="291" t="s">
        <v>7</v>
      </c>
      <c r="D48" s="472" t="s">
        <v>82</v>
      </c>
    </row>
    <row r="49" spans="1:4" ht="15.5" customHeight="1" x14ac:dyDescent="0.35">
      <c r="A49" s="460" t="s">
        <v>83</v>
      </c>
      <c r="B49" s="307"/>
      <c r="C49" s="307"/>
      <c r="D49" s="461"/>
    </row>
    <row r="50" spans="1:4" ht="16" customHeight="1" x14ac:dyDescent="0.35">
      <c r="A50" s="111" t="s">
        <v>21</v>
      </c>
      <c r="B50" s="292" t="s">
        <v>84</v>
      </c>
      <c r="C50" s="291" t="s">
        <v>7</v>
      </c>
      <c r="D50" s="472" t="s">
        <v>85</v>
      </c>
    </row>
    <row r="51" spans="1:4" ht="16" customHeight="1" x14ac:dyDescent="0.35">
      <c r="A51" s="111" t="s">
        <v>23</v>
      </c>
      <c r="B51" s="292" t="s">
        <v>86</v>
      </c>
      <c r="C51" s="291" t="s">
        <v>7</v>
      </c>
      <c r="D51" s="472" t="s">
        <v>87</v>
      </c>
    </row>
    <row r="52" spans="1:4" ht="15.5" customHeight="1" x14ac:dyDescent="0.35">
      <c r="A52" s="460" t="s">
        <v>88</v>
      </c>
      <c r="B52" s="307"/>
      <c r="C52" s="307"/>
      <c r="D52" s="461"/>
    </row>
    <row r="53" spans="1:4" ht="16" customHeight="1" x14ac:dyDescent="0.35">
      <c r="A53" s="111" t="s">
        <v>26</v>
      </c>
      <c r="B53" s="292" t="s">
        <v>89</v>
      </c>
      <c r="C53" s="291" t="s">
        <v>48</v>
      </c>
      <c r="D53" s="472">
        <v>1400</v>
      </c>
    </row>
    <row r="54" spans="1:4" ht="15.5" customHeight="1" x14ac:dyDescent="0.35">
      <c r="A54" s="460" t="s">
        <v>90</v>
      </c>
      <c r="B54" s="307"/>
      <c r="C54" s="307"/>
      <c r="D54" s="461"/>
    </row>
    <row r="55" spans="1:4" ht="16" customHeight="1" x14ac:dyDescent="0.35">
      <c r="A55" s="111" t="s">
        <v>29</v>
      </c>
      <c r="B55" s="292" t="s">
        <v>91</v>
      </c>
      <c r="C55" s="291" t="s">
        <v>7</v>
      </c>
      <c r="D55" s="472"/>
    </row>
    <row r="56" spans="1:4" ht="16" customHeight="1" x14ac:dyDescent="0.35">
      <c r="A56" s="111" t="s">
        <v>31</v>
      </c>
      <c r="B56" s="292" t="s">
        <v>92</v>
      </c>
      <c r="C56" s="291" t="s">
        <v>33</v>
      </c>
      <c r="D56" s="472">
        <v>1</v>
      </c>
    </row>
    <row r="57" spans="1:4" ht="15.5" customHeight="1" x14ac:dyDescent="0.35">
      <c r="A57" s="460" t="s">
        <v>93</v>
      </c>
      <c r="B57" s="307"/>
      <c r="C57" s="307"/>
      <c r="D57" s="461"/>
    </row>
    <row r="58" spans="1:4" ht="16" customHeight="1" x14ac:dyDescent="0.35">
      <c r="A58" s="111" t="s">
        <v>34</v>
      </c>
      <c r="B58" s="292" t="s">
        <v>94</v>
      </c>
      <c r="C58" s="291" t="s">
        <v>7</v>
      </c>
      <c r="D58" s="472">
        <v>1</v>
      </c>
    </row>
    <row r="59" spans="1:4" ht="16" customHeight="1" x14ac:dyDescent="0.35">
      <c r="A59" s="111" t="s">
        <v>36</v>
      </c>
      <c r="B59" s="292" t="s">
        <v>95</v>
      </c>
      <c r="C59" s="291" t="s">
        <v>7</v>
      </c>
      <c r="D59" s="472" t="s">
        <v>96</v>
      </c>
    </row>
    <row r="60" spans="1:4" ht="15.5" customHeight="1" x14ac:dyDescent="0.35">
      <c r="A60" s="111" t="s">
        <v>38</v>
      </c>
      <c r="B60" s="292" t="s">
        <v>97</v>
      </c>
      <c r="C60" s="291" t="s">
        <v>7</v>
      </c>
      <c r="D60" s="473">
        <v>2012</v>
      </c>
    </row>
    <row r="61" spans="1:4" ht="16" customHeight="1" x14ac:dyDescent="0.35">
      <c r="A61" s="111" t="s">
        <v>34</v>
      </c>
      <c r="B61" s="292" t="s">
        <v>94</v>
      </c>
      <c r="C61" s="291" t="s">
        <v>7</v>
      </c>
      <c r="D61" s="472">
        <v>1</v>
      </c>
    </row>
    <row r="62" spans="1:4" ht="16" customHeight="1" x14ac:dyDescent="0.35">
      <c r="A62" s="111" t="s">
        <v>36</v>
      </c>
      <c r="B62" s="292" t="s">
        <v>95</v>
      </c>
      <c r="C62" s="291" t="s">
        <v>7</v>
      </c>
      <c r="D62" s="472" t="s">
        <v>96</v>
      </c>
    </row>
    <row r="63" spans="1:4" ht="15.5" customHeight="1" x14ac:dyDescent="0.35">
      <c r="A63" s="111" t="s">
        <v>38</v>
      </c>
      <c r="B63" s="292" t="s">
        <v>97</v>
      </c>
      <c r="C63" s="291" t="s">
        <v>7</v>
      </c>
      <c r="D63" s="473">
        <v>2012</v>
      </c>
    </row>
    <row r="64" spans="1:4" ht="16" customHeight="1" x14ac:dyDescent="0.35">
      <c r="A64" s="111" t="s">
        <v>34</v>
      </c>
      <c r="B64" s="292" t="s">
        <v>94</v>
      </c>
      <c r="C64" s="291" t="s">
        <v>7</v>
      </c>
      <c r="D64" s="472">
        <v>1</v>
      </c>
    </row>
    <row r="65" spans="1:4" ht="16" customHeight="1" x14ac:dyDescent="0.35">
      <c r="A65" s="111" t="s">
        <v>36</v>
      </c>
      <c r="B65" s="292" t="s">
        <v>95</v>
      </c>
      <c r="C65" s="291" t="s">
        <v>7</v>
      </c>
      <c r="D65" s="472" t="s">
        <v>98</v>
      </c>
    </row>
    <row r="66" spans="1:4" ht="15.5" customHeight="1" x14ac:dyDescent="0.35">
      <c r="A66" s="111" t="s">
        <v>38</v>
      </c>
      <c r="B66" s="292" t="s">
        <v>97</v>
      </c>
      <c r="C66" s="291" t="s">
        <v>7</v>
      </c>
      <c r="D66" s="473">
        <v>2012</v>
      </c>
    </row>
    <row r="67" spans="1:4" ht="15.5" customHeight="1" x14ac:dyDescent="0.35">
      <c r="A67" s="460" t="s">
        <v>99</v>
      </c>
      <c r="B67" s="307"/>
      <c r="C67" s="307"/>
      <c r="D67" s="461"/>
    </row>
    <row r="68" spans="1:4" ht="16" customHeight="1" x14ac:dyDescent="0.35">
      <c r="A68" s="111" t="s">
        <v>40</v>
      </c>
      <c r="B68" s="292" t="s">
        <v>100</v>
      </c>
      <c r="C68" s="291" t="s">
        <v>7</v>
      </c>
      <c r="D68" s="472" t="s">
        <v>101</v>
      </c>
    </row>
    <row r="69" spans="1:4" ht="16" customHeight="1" x14ac:dyDescent="0.35">
      <c r="A69" s="111" t="s">
        <v>42</v>
      </c>
      <c r="B69" s="292" t="s">
        <v>102</v>
      </c>
      <c r="C69" s="291" t="s">
        <v>7</v>
      </c>
      <c r="D69" s="472" t="s">
        <v>103</v>
      </c>
    </row>
    <row r="70" spans="1:4" ht="16" customHeight="1" x14ac:dyDescent="0.35">
      <c r="A70" s="111" t="s">
        <v>44</v>
      </c>
      <c r="B70" s="292" t="s">
        <v>104</v>
      </c>
      <c r="C70" s="291" t="s">
        <v>7</v>
      </c>
      <c r="D70" s="472" t="s">
        <v>105</v>
      </c>
    </row>
    <row r="71" spans="1:4" ht="16" customHeight="1" x14ac:dyDescent="0.35">
      <c r="A71" s="111" t="s">
        <v>46</v>
      </c>
      <c r="B71" s="292" t="s">
        <v>106</v>
      </c>
      <c r="C71" s="291" t="s">
        <v>7</v>
      </c>
      <c r="D71" s="472" t="s">
        <v>107</v>
      </c>
    </row>
    <row r="72" spans="1:4" ht="15.5" customHeight="1" x14ac:dyDescent="0.35">
      <c r="A72" s="111" t="s">
        <v>49</v>
      </c>
      <c r="B72" s="292" t="s">
        <v>108</v>
      </c>
      <c r="C72" s="291" t="s">
        <v>7</v>
      </c>
      <c r="D72" s="473">
        <v>2012</v>
      </c>
    </row>
    <row r="73" spans="1:4" ht="15.5" customHeight="1" x14ac:dyDescent="0.35">
      <c r="A73" s="111" t="s">
        <v>51</v>
      </c>
      <c r="B73" s="292" t="s">
        <v>109</v>
      </c>
      <c r="C73" s="291" t="s">
        <v>7</v>
      </c>
      <c r="D73" s="473">
        <v>2022</v>
      </c>
    </row>
    <row r="74" spans="1:4" ht="15.5" customHeight="1" x14ac:dyDescent="0.35">
      <c r="A74" s="460" t="s">
        <v>99</v>
      </c>
      <c r="B74" s="307"/>
      <c r="C74" s="307"/>
      <c r="D74" s="461"/>
    </row>
    <row r="75" spans="1:4" ht="16" customHeight="1" x14ac:dyDescent="0.35">
      <c r="A75" s="111" t="s">
        <v>53</v>
      </c>
      <c r="B75" s="292" t="s">
        <v>110</v>
      </c>
      <c r="C75" s="291" t="s">
        <v>7</v>
      </c>
      <c r="D75" s="472" t="s">
        <v>111</v>
      </c>
    </row>
    <row r="76" spans="1:4" ht="16" customHeight="1" x14ac:dyDescent="0.35">
      <c r="A76" s="111" t="s">
        <v>55</v>
      </c>
      <c r="B76" s="292" t="s">
        <v>112</v>
      </c>
      <c r="C76" s="291" t="s">
        <v>7</v>
      </c>
      <c r="D76" s="472" t="s">
        <v>113</v>
      </c>
    </row>
    <row r="77" spans="1:4" ht="16" customHeight="1" x14ac:dyDescent="0.35">
      <c r="A77" s="111" t="s">
        <v>57</v>
      </c>
      <c r="B77" s="292" t="s">
        <v>104</v>
      </c>
      <c r="C77" s="291" t="s">
        <v>7</v>
      </c>
      <c r="D77" s="472" t="s">
        <v>114</v>
      </c>
    </row>
    <row r="78" spans="1:4" ht="16" customHeight="1" x14ac:dyDescent="0.35">
      <c r="A78" s="111" t="s">
        <v>59</v>
      </c>
      <c r="B78" s="292" t="s">
        <v>106</v>
      </c>
      <c r="C78" s="291" t="s">
        <v>7</v>
      </c>
      <c r="D78" s="472" t="s">
        <v>115</v>
      </c>
    </row>
    <row r="79" spans="1:4" ht="15.5" customHeight="1" x14ac:dyDescent="0.35">
      <c r="A79" s="111" t="s">
        <v>61</v>
      </c>
      <c r="B79" s="292" t="s">
        <v>108</v>
      </c>
      <c r="C79" s="291" t="s">
        <v>7</v>
      </c>
      <c r="D79" s="473">
        <v>2012</v>
      </c>
    </row>
    <row r="80" spans="1:4" ht="15.5" customHeight="1" x14ac:dyDescent="0.35">
      <c r="A80" s="111" t="s">
        <v>65</v>
      </c>
      <c r="B80" s="292" t="s">
        <v>109</v>
      </c>
      <c r="C80" s="291" t="s">
        <v>7</v>
      </c>
      <c r="D80" s="474">
        <v>45169</v>
      </c>
    </row>
    <row r="81" spans="1:4" ht="15.5" hidden="1" customHeight="1" x14ac:dyDescent="0.35">
      <c r="A81" s="460" t="s">
        <v>99</v>
      </c>
      <c r="B81" s="307"/>
      <c r="C81" s="307"/>
      <c r="D81" s="461"/>
    </row>
    <row r="82" spans="1:4" ht="16" hidden="1" customHeight="1" x14ac:dyDescent="0.35">
      <c r="A82" s="111" t="s">
        <v>68</v>
      </c>
      <c r="B82" s="292" t="s">
        <v>110</v>
      </c>
      <c r="C82" s="291" t="s">
        <v>7</v>
      </c>
      <c r="D82" s="472" t="s">
        <v>116</v>
      </c>
    </row>
    <row r="83" spans="1:4" ht="16" hidden="1" customHeight="1" x14ac:dyDescent="0.35">
      <c r="A83" s="111" t="s">
        <v>70</v>
      </c>
      <c r="B83" s="292" t="s">
        <v>112</v>
      </c>
      <c r="C83" s="291" t="s">
        <v>7</v>
      </c>
      <c r="D83" s="472" t="s">
        <v>113</v>
      </c>
    </row>
    <row r="84" spans="1:4" ht="16" hidden="1" customHeight="1" x14ac:dyDescent="0.35">
      <c r="A84" s="111" t="s">
        <v>117</v>
      </c>
      <c r="B84" s="292" t="s">
        <v>104</v>
      </c>
      <c r="C84" s="291" t="s">
        <v>7</v>
      </c>
      <c r="D84" s="472" t="s">
        <v>118</v>
      </c>
    </row>
    <row r="85" spans="1:4" ht="16" hidden="1" customHeight="1" x14ac:dyDescent="0.35">
      <c r="A85" s="111" t="s">
        <v>119</v>
      </c>
      <c r="B85" s="292" t="s">
        <v>106</v>
      </c>
      <c r="C85" s="291" t="s">
        <v>7</v>
      </c>
      <c r="D85" s="472" t="s">
        <v>303</v>
      </c>
    </row>
    <row r="86" spans="1:4" ht="15.5" hidden="1" customHeight="1" x14ac:dyDescent="0.35">
      <c r="A86" s="111" t="s">
        <v>121</v>
      </c>
      <c r="B86" s="292" t="s">
        <v>108</v>
      </c>
      <c r="C86" s="291" t="s">
        <v>7</v>
      </c>
      <c r="D86" s="473">
        <v>2009</v>
      </c>
    </row>
    <row r="87" spans="1:4" ht="15.5" hidden="1" customHeight="1" x14ac:dyDescent="0.35">
      <c r="A87" s="111" t="s">
        <v>122</v>
      </c>
      <c r="B87" s="292" t="s">
        <v>109</v>
      </c>
      <c r="C87" s="291" t="s">
        <v>7</v>
      </c>
      <c r="D87" s="473" t="s">
        <v>123</v>
      </c>
    </row>
    <row r="88" spans="1:4" ht="15.5" customHeight="1" x14ac:dyDescent="0.35">
      <c r="A88" s="460" t="s">
        <v>124</v>
      </c>
      <c r="B88" s="307"/>
      <c r="C88" s="307"/>
      <c r="D88" s="461"/>
    </row>
    <row r="89" spans="1:4" ht="16" customHeight="1" x14ac:dyDescent="0.35">
      <c r="A89" s="111" t="s">
        <v>122</v>
      </c>
      <c r="B89" s="292" t="s">
        <v>125</v>
      </c>
      <c r="C89" s="291" t="s">
        <v>7</v>
      </c>
      <c r="D89" s="472" t="s">
        <v>126</v>
      </c>
    </row>
    <row r="90" spans="1:4" ht="15.5" customHeight="1" x14ac:dyDescent="0.35">
      <c r="A90" s="460" t="s">
        <v>127</v>
      </c>
      <c r="B90" s="307"/>
      <c r="C90" s="307"/>
      <c r="D90" s="461"/>
    </row>
    <row r="91" spans="1:4" ht="32" customHeight="1" x14ac:dyDescent="0.35">
      <c r="A91" s="111" t="s">
        <v>128</v>
      </c>
      <c r="B91" s="292" t="s">
        <v>129</v>
      </c>
      <c r="C91" s="291" t="s">
        <v>7</v>
      </c>
      <c r="D91" s="472" t="s">
        <v>130</v>
      </c>
    </row>
    <row r="92" spans="1:4" ht="15.5" customHeight="1" x14ac:dyDescent="0.35">
      <c r="A92" s="460" t="s">
        <v>131</v>
      </c>
      <c r="B92" s="307"/>
      <c r="C92" s="307"/>
      <c r="D92" s="461"/>
    </row>
    <row r="93" spans="1:4" ht="16" customHeight="1" x14ac:dyDescent="0.35">
      <c r="A93" s="111" t="s">
        <v>132</v>
      </c>
      <c r="B93" s="292" t="s">
        <v>133</v>
      </c>
      <c r="C93" s="291" t="s">
        <v>7</v>
      </c>
      <c r="D93" s="472" t="s">
        <v>134</v>
      </c>
    </row>
    <row r="94" spans="1:4" ht="15.5" customHeight="1" x14ac:dyDescent="0.35">
      <c r="A94" s="460" t="s">
        <v>135</v>
      </c>
      <c r="B94" s="307"/>
      <c r="C94" s="307"/>
      <c r="D94" s="461"/>
    </row>
    <row r="95" spans="1:4" ht="16" customHeight="1" x14ac:dyDescent="0.35">
      <c r="A95" s="111" t="s">
        <v>136</v>
      </c>
      <c r="B95" s="292" t="s">
        <v>137</v>
      </c>
      <c r="C95" s="291" t="s">
        <v>7</v>
      </c>
      <c r="D95" s="472" t="s">
        <v>138</v>
      </c>
    </row>
    <row r="96" spans="1:4" ht="15.5" customHeight="1" x14ac:dyDescent="0.35">
      <c r="A96" s="460" t="s">
        <v>139</v>
      </c>
      <c r="B96" s="307"/>
      <c r="C96" s="307"/>
      <c r="D96" s="461"/>
    </row>
    <row r="97" spans="1:11" ht="15.5" customHeight="1" x14ac:dyDescent="0.35">
      <c r="A97" s="464"/>
      <c r="B97" s="91"/>
      <c r="C97" s="91"/>
      <c r="D97" s="112"/>
    </row>
    <row r="98" spans="1:11" ht="55.5" customHeight="1" x14ac:dyDescent="0.35">
      <c r="A98" s="411" t="s">
        <v>346</v>
      </c>
      <c r="B98" s="412"/>
      <c r="C98" s="412"/>
      <c r="D98" s="412"/>
      <c r="E98" s="412"/>
      <c r="F98" s="412"/>
      <c r="G98" s="412"/>
      <c r="H98" s="412"/>
    </row>
    <row r="99" spans="1:11" s="265" customFormat="1" ht="39" customHeight="1" x14ac:dyDescent="0.35">
      <c r="A99" s="212" t="s">
        <v>0</v>
      </c>
      <c r="B99" s="475" t="s">
        <v>391</v>
      </c>
      <c r="C99" s="475" t="s">
        <v>106</v>
      </c>
      <c r="D99" s="213" t="s">
        <v>392</v>
      </c>
      <c r="E99" s="214" t="s">
        <v>393</v>
      </c>
      <c r="F99" s="214"/>
      <c r="G99" s="214" t="s">
        <v>394</v>
      </c>
      <c r="H99" s="214"/>
    </row>
    <row r="100" spans="1:11" s="265" customFormat="1" ht="57.5" x14ac:dyDescent="0.35">
      <c r="A100" s="212"/>
      <c r="B100" s="475"/>
      <c r="C100" s="475"/>
      <c r="D100" s="213" t="s">
        <v>395</v>
      </c>
      <c r="E100" s="213" t="s">
        <v>396</v>
      </c>
      <c r="F100" s="213" t="s">
        <v>397</v>
      </c>
      <c r="G100" s="213" t="s">
        <v>396</v>
      </c>
      <c r="H100" s="213" t="s">
        <v>398</v>
      </c>
    </row>
    <row r="101" spans="1:11" s="268" customFormat="1" ht="28.5" customHeight="1" x14ac:dyDescent="0.35">
      <c r="A101" s="212">
        <v>1</v>
      </c>
      <c r="B101" s="266" t="s">
        <v>399</v>
      </c>
      <c r="C101" s="215" t="s">
        <v>400</v>
      </c>
      <c r="D101" s="267">
        <f>SUM(D102:D107)</f>
        <v>0.53051800000000005</v>
      </c>
      <c r="E101" s="216">
        <v>12711.9</v>
      </c>
      <c r="F101" s="216">
        <f>D101*E101</f>
        <v>6743.8917642000006</v>
      </c>
      <c r="G101" s="216">
        <f>E101</f>
        <v>12711.9</v>
      </c>
      <c r="H101" s="216">
        <f>F101*12</f>
        <v>80926.701170400003</v>
      </c>
    </row>
    <row r="102" spans="1:11" s="265" customFormat="1" ht="22" customHeight="1" x14ac:dyDescent="0.35">
      <c r="A102" s="213"/>
      <c r="B102" s="108" t="s">
        <v>401</v>
      </c>
      <c r="C102" s="214" t="s">
        <v>402</v>
      </c>
      <c r="D102" s="211">
        <f>'[1]МКД К.Беляева 40 Б'!$B$5</f>
        <v>1.0518E-2</v>
      </c>
      <c r="E102" s="65">
        <f t="shared" ref="E102:E108" si="0">E101</f>
        <v>12711.9</v>
      </c>
      <c r="F102" s="65">
        <f>D102*E102</f>
        <v>133.70376419999999</v>
      </c>
      <c r="G102" s="65">
        <f>E102</f>
        <v>12711.9</v>
      </c>
      <c r="H102" s="65">
        <f>F102*12</f>
        <v>1604.4451703999998</v>
      </c>
    </row>
    <row r="103" spans="1:11" s="265" customFormat="1" ht="25.5" customHeight="1" x14ac:dyDescent="0.35">
      <c r="A103" s="213"/>
      <c r="B103" s="108" t="s">
        <v>403</v>
      </c>
      <c r="C103" s="214" t="s">
        <v>402</v>
      </c>
      <c r="D103" s="83">
        <v>0.11</v>
      </c>
      <c r="E103" s="65">
        <f t="shared" si="0"/>
        <v>12711.9</v>
      </c>
      <c r="F103" s="65">
        <f t="shared" ref="F103:F130" si="1">D103*E103</f>
        <v>1398.309</v>
      </c>
      <c r="G103" s="65">
        <f t="shared" ref="G103:G130" si="2">E103</f>
        <v>12711.9</v>
      </c>
      <c r="H103" s="65">
        <f t="shared" ref="H103:H130" si="3">F103*12</f>
        <v>16779.707999999999</v>
      </c>
    </row>
    <row r="104" spans="1:11" s="265" customFormat="1" ht="22" customHeight="1" x14ac:dyDescent="0.35">
      <c r="A104" s="213"/>
      <c r="B104" s="108" t="s">
        <v>404</v>
      </c>
      <c r="C104" s="214" t="s">
        <v>402</v>
      </c>
      <c r="D104" s="83">
        <v>0.12</v>
      </c>
      <c r="E104" s="65">
        <f t="shared" si="0"/>
        <v>12711.9</v>
      </c>
      <c r="F104" s="65">
        <f t="shared" si="1"/>
        <v>1525.4279999999999</v>
      </c>
      <c r="G104" s="65">
        <f t="shared" si="2"/>
        <v>12711.9</v>
      </c>
      <c r="H104" s="65">
        <f t="shared" si="3"/>
        <v>18305.135999999999</v>
      </c>
    </row>
    <row r="105" spans="1:11" s="265" customFormat="1" ht="22" customHeight="1" x14ac:dyDescent="0.35">
      <c r="A105" s="213"/>
      <c r="B105" s="108" t="s">
        <v>405</v>
      </c>
      <c r="C105" s="214" t="s">
        <v>402</v>
      </c>
      <c r="D105" s="83">
        <v>0.03</v>
      </c>
      <c r="E105" s="65">
        <f t="shared" si="0"/>
        <v>12711.9</v>
      </c>
      <c r="F105" s="65">
        <f t="shared" si="1"/>
        <v>381.35699999999997</v>
      </c>
      <c r="G105" s="65">
        <f t="shared" si="2"/>
        <v>12711.9</v>
      </c>
      <c r="H105" s="65">
        <f t="shared" si="3"/>
        <v>4576.2839999999997</v>
      </c>
    </row>
    <row r="106" spans="1:11" s="265" customFormat="1" ht="22" customHeight="1" x14ac:dyDescent="0.35">
      <c r="A106" s="213"/>
      <c r="B106" s="108" t="s">
        <v>406</v>
      </c>
      <c r="C106" s="214" t="s">
        <v>402</v>
      </c>
      <c r="D106" s="83">
        <v>0.15</v>
      </c>
      <c r="E106" s="65">
        <f t="shared" si="0"/>
        <v>12711.9</v>
      </c>
      <c r="F106" s="65">
        <f t="shared" si="1"/>
        <v>1906.7849999999999</v>
      </c>
      <c r="G106" s="65">
        <f t="shared" si="2"/>
        <v>12711.9</v>
      </c>
      <c r="H106" s="65">
        <f t="shared" si="3"/>
        <v>22881.42</v>
      </c>
    </row>
    <row r="107" spans="1:11" s="265" customFormat="1" ht="35.5" customHeight="1" x14ac:dyDescent="0.35">
      <c r="A107" s="213"/>
      <c r="B107" s="108" t="s">
        <v>407</v>
      </c>
      <c r="C107" s="214" t="s">
        <v>402</v>
      </c>
      <c r="D107" s="83">
        <v>0.11</v>
      </c>
      <c r="E107" s="65">
        <f t="shared" si="0"/>
        <v>12711.9</v>
      </c>
      <c r="F107" s="65">
        <f t="shared" si="1"/>
        <v>1398.309</v>
      </c>
      <c r="G107" s="65">
        <f t="shared" si="2"/>
        <v>12711.9</v>
      </c>
      <c r="H107" s="65">
        <f t="shared" si="3"/>
        <v>16779.707999999999</v>
      </c>
    </row>
    <row r="108" spans="1:11" s="268" customFormat="1" ht="36" customHeight="1" x14ac:dyDescent="0.35">
      <c r="A108" s="212" t="s">
        <v>408</v>
      </c>
      <c r="B108" s="266" t="s">
        <v>262</v>
      </c>
      <c r="C108" s="215" t="s">
        <v>402</v>
      </c>
      <c r="D108" s="269">
        <f>SUM(D109:D114)</f>
        <v>6.25</v>
      </c>
      <c r="E108" s="216">
        <f t="shared" si="0"/>
        <v>12711.9</v>
      </c>
      <c r="F108" s="216">
        <f t="shared" si="1"/>
        <v>79449.375</v>
      </c>
      <c r="G108" s="216">
        <f t="shared" si="2"/>
        <v>12711.9</v>
      </c>
      <c r="H108" s="216">
        <f t="shared" si="3"/>
        <v>953392.5</v>
      </c>
      <c r="K108" s="270">
        <f>H108</f>
        <v>953392.5</v>
      </c>
    </row>
    <row r="109" spans="1:11" s="265" customFormat="1" ht="22" customHeight="1" x14ac:dyDescent="0.35">
      <c r="A109" s="213"/>
      <c r="B109" s="108" t="s">
        <v>409</v>
      </c>
      <c r="C109" s="214" t="s">
        <v>402</v>
      </c>
      <c r="D109" s="83">
        <v>0.25</v>
      </c>
      <c r="E109" s="65">
        <f>E107</f>
        <v>12711.9</v>
      </c>
      <c r="F109" s="65">
        <f t="shared" si="1"/>
        <v>3177.9749999999999</v>
      </c>
      <c r="G109" s="65">
        <f t="shared" si="2"/>
        <v>12711.9</v>
      </c>
      <c r="H109" s="65">
        <f t="shared" si="3"/>
        <v>38135.699999999997</v>
      </c>
    </row>
    <row r="110" spans="1:11" s="265" customFormat="1" ht="22" customHeight="1" x14ac:dyDescent="0.35">
      <c r="A110" s="213"/>
      <c r="B110" s="108" t="s">
        <v>410</v>
      </c>
      <c r="C110" s="214" t="s">
        <v>402</v>
      </c>
      <c r="D110" s="83">
        <v>1.65</v>
      </c>
      <c r="E110" s="65">
        <f t="shared" ref="E110:E130" si="4">E108</f>
        <v>12711.9</v>
      </c>
      <c r="F110" s="65">
        <f t="shared" si="1"/>
        <v>20974.634999999998</v>
      </c>
      <c r="G110" s="65">
        <f t="shared" si="2"/>
        <v>12711.9</v>
      </c>
      <c r="H110" s="65">
        <f t="shared" si="3"/>
        <v>251695.62</v>
      </c>
    </row>
    <row r="111" spans="1:11" s="265" customFormat="1" ht="36" customHeight="1" x14ac:dyDescent="0.35">
      <c r="A111" s="213"/>
      <c r="B111" s="108" t="s">
        <v>411</v>
      </c>
      <c r="C111" s="214" t="s">
        <v>402</v>
      </c>
      <c r="D111" s="83">
        <v>0.16</v>
      </c>
      <c r="E111" s="65">
        <f t="shared" si="4"/>
        <v>12711.9</v>
      </c>
      <c r="F111" s="65">
        <f t="shared" si="1"/>
        <v>2033.904</v>
      </c>
      <c r="G111" s="65">
        <f t="shared" si="2"/>
        <v>12711.9</v>
      </c>
      <c r="H111" s="65">
        <f t="shared" si="3"/>
        <v>24406.847999999998</v>
      </c>
    </row>
    <row r="112" spans="1:11" s="265" customFormat="1" ht="22" customHeight="1" x14ac:dyDescent="0.35">
      <c r="A112" s="213"/>
      <c r="B112" s="108" t="s">
        <v>412</v>
      </c>
      <c r="C112" s="214" t="s">
        <v>402</v>
      </c>
      <c r="D112" s="83">
        <f>1.91-0.56</f>
        <v>1.3499999999999999</v>
      </c>
      <c r="E112" s="65">
        <f t="shared" si="4"/>
        <v>12711.9</v>
      </c>
      <c r="F112" s="65">
        <f t="shared" si="1"/>
        <v>17161.064999999999</v>
      </c>
      <c r="G112" s="65">
        <f t="shared" si="2"/>
        <v>12711.9</v>
      </c>
      <c r="H112" s="65">
        <f t="shared" si="3"/>
        <v>205932.77999999997</v>
      </c>
    </row>
    <row r="113" spans="1:13" s="265" customFormat="1" ht="34" customHeight="1" x14ac:dyDescent="0.35">
      <c r="A113" s="213"/>
      <c r="B113" s="108" t="s">
        <v>413</v>
      </c>
      <c r="C113" s="214" t="s">
        <v>402</v>
      </c>
      <c r="D113" s="83">
        <v>1.47</v>
      </c>
      <c r="E113" s="65">
        <f t="shared" si="4"/>
        <v>12711.9</v>
      </c>
      <c r="F113" s="65">
        <f t="shared" si="1"/>
        <v>18686.492999999999</v>
      </c>
      <c r="G113" s="65">
        <f t="shared" si="2"/>
        <v>12711.9</v>
      </c>
      <c r="H113" s="65">
        <f t="shared" si="3"/>
        <v>224237.91599999997</v>
      </c>
    </row>
    <row r="114" spans="1:13" s="265" customFormat="1" ht="38.5" customHeight="1" x14ac:dyDescent="0.35">
      <c r="A114" s="213"/>
      <c r="B114" s="108" t="s">
        <v>414</v>
      </c>
      <c r="C114" s="214" t="s">
        <v>402</v>
      </c>
      <c r="D114" s="83">
        <v>1.37</v>
      </c>
      <c r="E114" s="65">
        <f t="shared" si="4"/>
        <v>12711.9</v>
      </c>
      <c r="F114" s="65">
        <f t="shared" si="1"/>
        <v>17415.303</v>
      </c>
      <c r="G114" s="65">
        <f t="shared" si="2"/>
        <v>12711.9</v>
      </c>
      <c r="H114" s="65">
        <f t="shared" si="3"/>
        <v>208983.636</v>
      </c>
    </row>
    <row r="115" spans="1:13" s="268" customFormat="1" ht="22" customHeight="1" x14ac:dyDescent="0.35">
      <c r="A115" s="212"/>
      <c r="B115" s="266" t="s">
        <v>415</v>
      </c>
      <c r="C115" s="215" t="s">
        <v>402</v>
      </c>
      <c r="D115" s="269">
        <f>SUM(D116:D124)</f>
        <v>6.61</v>
      </c>
      <c r="E115" s="216">
        <f t="shared" si="4"/>
        <v>12711.9</v>
      </c>
      <c r="F115" s="216">
        <f t="shared" si="1"/>
        <v>84025.659</v>
      </c>
      <c r="G115" s="216">
        <f t="shared" si="2"/>
        <v>12711.9</v>
      </c>
      <c r="H115" s="216">
        <f t="shared" si="3"/>
        <v>1008307.9080000001</v>
      </c>
      <c r="K115" s="270">
        <f>H115</f>
        <v>1008307.9080000001</v>
      </c>
    </row>
    <row r="116" spans="1:13" s="265" customFormat="1" ht="22" customHeight="1" x14ac:dyDescent="0.35">
      <c r="A116" s="213"/>
      <c r="B116" s="108" t="s">
        <v>416</v>
      </c>
      <c r="C116" s="214" t="s">
        <v>402</v>
      </c>
      <c r="D116" s="83">
        <v>0.55000000000000004</v>
      </c>
      <c r="E116" s="65">
        <f>E115</f>
        <v>12711.9</v>
      </c>
      <c r="F116" s="65">
        <f t="shared" si="1"/>
        <v>6991.5450000000001</v>
      </c>
      <c r="G116" s="65">
        <f t="shared" si="2"/>
        <v>12711.9</v>
      </c>
      <c r="H116" s="65">
        <f t="shared" si="3"/>
        <v>83898.540000000008</v>
      </c>
    </row>
    <row r="117" spans="1:13" s="265" customFormat="1" ht="37" customHeight="1" x14ac:dyDescent="0.35">
      <c r="A117" s="213"/>
      <c r="B117" s="108" t="s">
        <v>417</v>
      </c>
      <c r="C117" s="214" t="s">
        <v>402</v>
      </c>
      <c r="D117" s="83">
        <f>1.2+0.55</f>
        <v>1.75</v>
      </c>
      <c r="E117" s="65">
        <f>E116</f>
        <v>12711.9</v>
      </c>
      <c r="F117" s="65">
        <f t="shared" si="1"/>
        <v>22245.825000000001</v>
      </c>
      <c r="G117" s="65">
        <f t="shared" si="2"/>
        <v>12711.9</v>
      </c>
      <c r="H117" s="65">
        <f t="shared" si="3"/>
        <v>266949.90000000002</v>
      </c>
    </row>
    <row r="118" spans="1:13" s="265" customFormat="1" ht="22" customHeight="1" x14ac:dyDescent="0.35">
      <c r="A118" s="213"/>
      <c r="B118" s="108" t="s">
        <v>418</v>
      </c>
      <c r="C118" s="214" t="s">
        <v>402</v>
      </c>
      <c r="D118" s="271">
        <v>3.74</v>
      </c>
      <c r="E118" s="65">
        <f t="shared" si="4"/>
        <v>12711.9</v>
      </c>
      <c r="F118" s="65">
        <f t="shared" si="1"/>
        <v>47542.506000000001</v>
      </c>
      <c r="G118" s="65">
        <f t="shared" si="2"/>
        <v>12711.9</v>
      </c>
      <c r="H118" s="65">
        <f t="shared" si="3"/>
        <v>570510.07200000004</v>
      </c>
    </row>
    <row r="119" spans="1:13" s="265" customFormat="1" ht="38.5" customHeight="1" x14ac:dyDescent="0.35">
      <c r="A119" s="213"/>
      <c r="B119" s="108" t="s">
        <v>419</v>
      </c>
      <c r="C119" s="214" t="s">
        <v>402</v>
      </c>
      <c r="D119" s="83">
        <f>0.06+0.01</f>
        <v>6.9999999999999993E-2</v>
      </c>
      <c r="E119" s="65">
        <f t="shared" si="4"/>
        <v>12711.9</v>
      </c>
      <c r="F119" s="65">
        <f t="shared" si="1"/>
        <v>889.83299999999986</v>
      </c>
      <c r="G119" s="65">
        <f t="shared" si="2"/>
        <v>12711.9</v>
      </c>
      <c r="H119" s="65">
        <f t="shared" si="3"/>
        <v>10677.995999999999</v>
      </c>
    </row>
    <row r="120" spans="1:13" s="265" customFormat="1" ht="22" hidden="1" customHeight="1" x14ac:dyDescent="0.35">
      <c r="A120" s="213"/>
      <c r="B120" s="108" t="s">
        <v>420</v>
      </c>
      <c r="C120" s="214" t="s">
        <v>402</v>
      </c>
      <c r="D120" s="83"/>
      <c r="E120" s="65">
        <f t="shared" si="4"/>
        <v>12711.9</v>
      </c>
      <c r="F120" s="65">
        <f t="shared" si="1"/>
        <v>0</v>
      </c>
      <c r="G120" s="65">
        <f t="shared" si="2"/>
        <v>12711.9</v>
      </c>
      <c r="H120" s="65">
        <f t="shared" si="3"/>
        <v>0</v>
      </c>
    </row>
    <row r="121" spans="1:13" s="265" customFormat="1" ht="22" customHeight="1" x14ac:dyDescent="0.35">
      <c r="A121" s="213"/>
      <c r="B121" s="108" t="s">
        <v>421</v>
      </c>
      <c r="C121" s="214"/>
      <c r="D121" s="83">
        <v>0.04</v>
      </c>
      <c r="E121" s="65">
        <f t="shared" si="4"/>
        <v>12711.9</v>
      </c>
      <c r="F121" s="65">
        <f t="shared" si="1"/>
        <v>508.476</v>
      </c>
      <c r="G121" s="65">
        <f t="shared" si="2"/>
        <v>12711.9</v>
      </c>
      <c r="H121" s="65">
        <f t="shared" si="3"/>
        <v>6101.7119999999995</v>
      </c>
    </row>
    <row r="122" spans="1:13" s="265" customFormat="1" ht="22" customHeight="1" x14ac:dyDescent="0.35">
      <c r="A122" s="213"/>
      <c r="B122" s="108" t="s">
        <v>422</v>
      </c>
      <c r="C122" s="214" t="s">
        <v>402</v>
      </c>
      <c r="D122" s="83">
        <v>0.05</v>
      </c>
      <c r="E122" s="65">
        <f t="shared" si="4"/>
        <v>12711.9</v>
      </c>
      <c r="F122" s="65">
        <f t="shared" si="1"/>
        <v>635.59500000000003</v>
      </c>
      <c r="G122" s="65">
        <f t="shared" si="2"/>
        <v>12711.9</v>
      </c>
      <c r="H122" s="65">
        <f t="shared" si="3"/>
        <v>7627.14</v>
      </c>
    </row>
    <row r="123" spans="1:13" s="265" customFormat="1" ht="15.5" customHeight="1" x14ac:dyDescent="0.35">
      <c r="A123" s="212" t="s">
        <v>449</v>
      </c>
      <c r="B123" s="108" t="s">
        <v>423</v>
      </c>
      <c r="C123" s="215" t="s">
        <v>402</v>
      </c>
      <c r="D123" s="83">
        <v>0.36</v>
      </c>
      <c r="E123" s="65">
        <f t="shared" si="4"/>
        <v>12711.9</v>
      </c>
      <c r="F123" s="65">
        <f t="shared" si="1"/>
        <v>4576.2839999999997</v>
      </c>
      <c r="G123" s="65">
        <f t="shared" si="2"/>
        <v>12711.9</v>
      </c>
      <c r="H123" s="65">
        <f t="shared" si="3"/>
        <v>54915.407999999996</v>
      </c>
    </row>
    <row r="124" spans="1:13" s="265" customFormat="1" ht="51" customHeight="1" x14ac:dyDescent="0.35">
      <c r="A124" s="272"/>
      <c r="B124" s="108" t="s">
        <v>305</v>
      </c>
      <c r="C124" s="215" t="s">
        <v>402</v>
      </c>
      <c r="D124" s="83">
        <v>0.05</v>
      </c>
      <c r="E124" s="65">
        <f t="shared" si="4"/>
        <v>12711.9</v>
      </c>
      <c r="F124" s="65">
        <f t="shared" si="1"/>
        <v>635.59500000000003</v>
      </c>
      <c r="G124" s="65">
        <f t="shared" si="2"/>
        <v>12711.9</v>
      </c>
      <c r="H124" s="65">
        <f t="shared" si="3"/>
        <v>7627.14</v>
      </c>
    </row>
    <row r="125" spans="1:13" s="268" customFormat="1" ht="48" x14ac:dyDescent="0.35">
      <c r="A125" s="273"/>
      <c r="B125" s="266" t="s">
        <v>424</v>
      </c>
      <c r="C125" s="215" t="s">
        <v>402</v>
      </c>
      <c r="D125" s="267">
        <f>D126+D127</f>
        <v>2.12</v>
      </c>
      <c r="E125" s="65">
        <f t="shared" si="4"/>
        <v>12711.9</v>
      </c>
      <c r="F125" s="216">
        <f t="shared" si="1"/>
        <v>26949.227999999999</v>
      </c>
      <c r="G125" s="216">
        <f t="shared" si="2"/>
        <v>12711.9</v>
      </c>
      <c r="H125" s="216">
        <f t="shared" si="3"/>
        <v>323390.73599999998</v>
      </c>
      <c r="K125" s="270">
        <f>H125</f>
        <v>323390.73599999998</v>
      </c>
      <c r="L125" s="270">
        <f>K125+K115+K108</f>
        <v>2285091.1440000003</v>
      </c>
    </row>
    <row r="126" spans="1:13" s="265" customFormat="1" ht="108" x14ac:dyDescent="0.35">
      <c r="A126" s="272"/>
      <c r="B126" s="108" t="s">
        <v>425</v>
      </c>
      <c r="C126" s="215" t="s">
        <v>402</v>
      </c>
      <c r="D126" s="211">
        <f>2.16-0.55</f>
        <v>1.61</v>
      </c>
      <c r="E126" s="65">
        <f t="shared" si="4"/>
        <v>12711.9</v>
      </c>
      <c r="F126" s="65">
        <f t="shared" si="1"/>
        <v>20466.159</v>
      </c>
      <c r="G126" s="65">
        <f t="shared" si="2"/>
        <v>12711.9</v>
      </c>
      <c r="H126" s="65">
        <f t="shared" si="3"/>
        <v>245593.908</v>
      </c>
    </row>
    <row r="127" spans="1:13" s="265" customFormat="1" ht="72" customHeight="1" x14ac:dyDescent="0.35">
      <c r="A127" s="272"/>
      <c r="B127" s="108" t="s">
        <v>426</v>
      </c>
      <c r="C127" s="215" t="s">
        <v>402</v>
      </c>
      <c r="D127" s="211">
        <v>0.51</v>
      </c>
      <c r="E127" s="65">
        <f t="shared" si="4"/>
        <v>12711.9</v>
      </c>
      <c r="F127" s="65">
        <f t="shared" si="1"/>
        <v>6483.0689999999995</v>
      </c>
      <c r="G127" s="65">
        <f t="shared" si="2"/>
        <v>12711.9</v>
      </c>
      <c r="H127" s="65">
        <f t="shared" si="3"/>
        <v>77796.827999999994</v>
      </c>
    </row>
    <row r="128" spans="1:13" s="265" customFormat="1" ht="24" x14ac:dyDescent="0.35">
      <c r="A128" s="272"/>
      <c r="B128" s="266" t="s">
        <v>265</v>
      </c>
      <c r="C128" s="215" t="s">
        <v>402</v>
      </c>
      <c r="D128" s="267">
        <f>2.39+3.18</f>
        <v>5.57</v>
      </c>
      <c r="E128" s="216">
        <f t="shared" si="4"/>
        <v>12711.9</v>
      </c>
      <c r="F128" s="216">
        <f t="shared" si="1"/>
        <v>70805.282999999996</v>
      </c>
      <c r="G128" s="216">
        <f t="shared" si="2"/>
        <v>12711.9</v>
      </c>
      <c r="H128" s="216">
        <f t="shared" si="3"/>
        <v>849663.39599999995</v>
      </c>
      <c r="L128" s="265">
        <f>25.55*G128</f>
        <v>324789.04499999998</v>
      </c>
      <c r="M128" s="265">
        <f>L128/12</f>
        <v>27065.75375</v>
      </c>
    </row>
    <row r="129" spans="1:14" s="265" customFormat="1" x14ac:dyDescent="0.35">
      <c r="A129" s="272"/>
      <c r="B129" s="266" t="s">
        <v>427</v>
      </c>
      <c r="C129" s="215" t="s">
        <v>402</v>
      </c>
      <c r="D129" s="269">
        <v>4.47</v>
      </c>
      <c r="E129" s="216">
        <f t="shared" si="4"/>
        <v>12711.9</v>
      </c>
      <c r="F129" s="216">
        <f t="shared" si="1"/>
        <v>56822.192999999992</v>
      </c>
      <c r="G129" s="216">
        <f t="shared" si="2"/>
        <v>12711.9</v>
      </c>
      <c r="H129" s="216">
        <f t="shared" si="3"/>
        <v>681866.31599999988</v>
      </c>
    </row>
    <row r="130" spans="1:14" s="265" customFormat="1" x14ac:dyDescent="0.35">
      <c r="A130" s="272"/>
      <c r="B130" s="266" t="s">
        <v>428</v>
      </c>
      <c r="C130" s="215" t="s">
        <v>402</v>
      </c>
      <c r="D130" s="267">
        <f>D129+D128+D125+D115+D108+D101</f>
        <v>25.550518</v>
      </c>
      <c r="E130" s="216">
        <f t="shared" si="4"/>
        <v>12711.9</v>
      </c>
      <c r="F130" s="216">
        <f t="shared" si="1"/>
        <v>324795.62976420001</v>
      </c>
      <c r="G130" s="216">
        <f t="shared" si="2"/>
        <v>12711.9</v>
      </c>
      <c r="H130" s="216">
        <f t="shared" si="3"/>
        <v>3897547.5571704004</v>
      </c>
    </row>
    <row r="131" spans="1:14" x14ac:dyDescent="0.35">
      <c r="A131" s="102" t="s">
        <v>0</v>
      </c>
      <c r="B131" s="330" t="s">
        <v>2</v>
      </c>
      <c r="C131" s="330" t="s">
        <v>3</v>
      </c>
      <c r="D131" s="316" t="s">
        <v>4</v>
      </c>
      <c r="E131" s="316"/>
      <c r="F131" s="316"/>
      <c r="G131" s="316"/>
      <c r="H131" s="316"/>
    </row>
    <row r="132" spans="1:14" x14ac:dyDescent="0.35">
      <c r="A132" s="285" t="s">
        <v>1</v>
      </c>
      <c r="B132" s="330"/>
      <c r="C132" s="330"/>
      <c r="D132" s="316"/>
      <c r="E132" s="316"/>
      <c r="F132" s="316"/>
      <c r="G132" s="316"/>
      <c r="H132" s="316"/>
    </row>
    <row r="133" spans="1:14" ht="24.5" customHeight="1" x14ac:dyDescent="0.35">
      <c r="A133" s="291">
        <v>1</v>
      </c>
      <c r="B133" s="296" t="s">
        <v>302</v>
      </c>
      <c r="C133" s="291" t="s">
        <v>298</v>
      </c>
      <c r="D133" s="311">
        <v>4.47</v>
      </c>
      <c r="E133" s="311"/>
      <c r="F133" s="311"/>
      <c r="G133" s="311"/>
      <c r="H133" s="311"/>
      <c r="K133" s="57">
        <v>13438.42</v>
      </c>
      <c r="M133" s="57">
        <f>K133*D133</f>
        <v>60069.737399999998</v>
      </c>
      <c r="N133" s="57">
        <f>M133*12</f>
        <v>720836.84880000004</v>
      </c>
    </row>
    <row r="134" spans="1:14" x14ac:dyDescent="0.35">
      <c r="A134" s="291">
        <v>2</v>
      </c>
      <c r="B134" s="292" t="s">
        <v>430</v>
      </c>
      <c r="C134" s="291" t="s">
        <v>143</v>
      </c>
      <c r="D134" s="311">
        <f>[17]Лист_1!$AX$409</f>
        <v>694662.4511624265</v>
      </c>
      <c r="E134" s="311"/>
      <c r="F134" s="311"/>
      <c r="G134" s="311"/>
      <c r="H134" s="311"/>
    </row>
    <row r="135" spans="1:14" x14ac:dyDescent="0.35">
      <c r="A135" s="291">
        <v>3</v>
      </c>
      <c r="B135" s="292" t="s">
        <v>258</v>
      </c>
      <c r="C135" s="291" t="s">
        <v>7</v>
      </c>
      <c r="D135" s="311" t="s">
        <v>304</v>
      </c>
      <c r="E135" s="311"/>
      <c r="F135" s="311"/>
      <c r="G135" s="311"/>
      <c r="H135" s="311"/>
    </row>
    <row r="136" spans="1:14" x14ac:dyDescent="0.35">
      <c r="A136" s="291">
        <v>4</v>
      </c>
      <c r="B136" s="295" t="s">
        <v>350</v>
      </c>
      <c r="C136" s="291"/>
      <c r="D136" s="311">
        <f>'[4]К. Беляева 40Г'!$D$91</f>
        <v>972944.08899999969</v>
      </c>
      <c r="E136" s="311"/>
      <c r="F136" s="311"/>
      <c r="G136" s="311"/>
      <c r="H136" s="311"/>
    </row>
    <row r="137" spans="1:14" x14ac:dyDescent="0.35">
      <c r="A137" s="291">
        <v>5</v>
      </c>
      <c r="B137" s="295" t="s">
        <v>500</v>
      </c>
      <c r="C137" s="291"/>
      <c r="D137" s="311">
        <f>'[4]К. Беляева 40Г'!$D$92</f>
        <v>141904.86216242681</v>
      </c>
      <c r="E137" s="311"/>
      <c r="F137" s="311"/>
      <c r="G137" s="311"/>
      <c r="H137" s="311"/>
    </row>
    <row r="138" spans="1:14" x14ac:dyDescent="0.35">
      <c r="A138" s="291">
        <v>6</v>
      </c>
      <c r="B138" s="292" t="s">
        <v>148</v>
      </c>
      <c r="C138" s="291" t="s">
        <v>7</v>
      </c>
      <c r="D138" s="311" t="s">
        <v>273</v>
      </c>
      <c r="E138" s="311"/>
      <c r="F138" s="311"/>
      <c r="G138" s="311"/>
      <c r="H138" s="311"/>
    </row>
    <row r="139" spans="1:14" ht="15.5" hidden="1" customHeight="1" x14ac:dyDescent="0.35">
      <c r="A139" s="102" t="s">
        <v>0</v>
      </c>
      <c r="B139" s="330" t="s">
        <v>2</v>
      </c>
      <c r="C139" s="330" t="s">
        <v>3</v>
      </c>
      <c r="D139" s="311" t="s">
        <v>4</v>
      </c>
      <c r="E139" s="311"/>
      <c r="F139" s="311"/>
      <c r="G139" s="311"/>
      <c r="H139" s="311"/>
    </row>
    <row r="140" spans="1:14" ht="15.5" hidden="1" customHeight="1" x14ac:dyDescent="0.35">
      <c r="A140" s="285" t="s">
        <v>1</v>
      </c>
      <c r="B140" s="330"/>
      <c r="C140" s="330"/>
      <c r="D140" s="311"/>
      <c r="E140" s="311"/>
      <c r="F140" s="311"/>
      <c r="G140" s="311"/>
      <c r="H140" s="311"/>
    </row>
    <row r="141" spans="1:14" ht="41" hidden="1" customHeight="1" x14ac:dyDescent="0.35">
      <c r="A141" s="291">
        <v>1</v>
      </c>
      <c r="B141" s="296" t="s">
        <v>265</v>
      </c>
      <c r="C141" s="291" t="s">
        <v>7</v>
      </c>
      <c r="D141" s="311">
        <f>[2]КБ40Б!$B$31</f>
        <v>5.0200000000000005</v>
      </c>
      <c r="E141" s="311">
        <f>D141</f>
        <v>5.0200000000000005</v>
      </c>
      <c r="F141" s="311"/>
      <c r="G141" s="311"/>
      <c r="H141" s="311"/>
      <c r="K141" s="57">
        <v>13438.42</v>
      </c>
      <c r="M141" s="57">
        <f>K141*D141</f>
        <v>67460.868400000007</v>
      </c>
      <c r="N141" s="57">
        <f>M141*12</f>
        <v>809530.42080000008</v>
      </c>
    </row>
    <row r="142" spans="1:14" ht="16" hidden="1" customHeight="1" x14ac:dyDescent="0.35">
      <c r="A142" s="291">
        <v>2</v>
      </c>
      <c r="B142" s="292" t="s">
        <v>142</v>
      </c>
      <c r="C142" s="291" t="s">
        <v>143</v>
      </c>
      <c r="D142" s="311">
        <f>[2]КБ40Б!$G$31</f>
        <v>851464.09659744019</v>
      </c>
      <c r="E142" s="311"/>
      <c r="F142" s="311">
        <f>D142</f>
        <v>851464.09659744019</v>
      </c>
      <c r="G142" s="311"/>
      <c r="H142" s="311"/>
    </row>
    <row r="143" spans="1:14" ht="39" hidden="1" customHeight="1" x14ac:dyDescent="0.35">
      <c r="A143" s="291">
        <v>3</v>
      </c>
      <c r="B143" s="292" t="s">
        <v>258</v>
      </c>
      <c r="C143" s="291" t="s">
        <v>7</v>
      </c>
      <c r="D143" s="311" t="s">
        <v>324</v>
      </c>
      <c r="E143" s="311">
        <f>SUM(E62:E142)</f>
        <v>381362.02000000014</v>
      </c>
      <c r="F143" s="311">
        <f>SUM(F62:F142)</f>
        <v>1698223.5098900399</v>
      </c>
      <c r="G143" s="311"/>
      <c r="H143" s="311"/>
    </row>
    <row r="144" spans="1:14" ht="16" hidden="1" customHeight="1" x14ac:dyDescent="0.35">
      <c r="A144" s="291">
        <v>4</v>
      </c>
      <c r="B144" s="292" t="s">
        <v>148</v>
      </c>
      <c r="C144" s="291" t="s">
        <v>7</v>
      </c>
      <c r="D144" s="311" t="s">
        <v>155</v>
      </c>
      <c r="E144" s="311"/>
      <c r="F144" s="311"/>
      <c r="G144" s="311"/>
      <c r="H144" s="311"/>
    </row>
    <row r="145" spans="1:16" x14ac:dyDescent="0.35">
      <c r="A145" s="102" t="s">
        <v>0</v>
      </c>
      <c r="B145" s="330" t="s">
        <v>2</v>
      </c>
      <c r="C145" s="330" t="s">
        <v>3</v>
      </c>
      <c r="D145" s="311" t="s">
        <v>4</v>
      </c>
      <c r="E145" s="311"/>
      <c r="F145" s="311"/>
      <c r="G145" s="311"/>
      <c r="H145" s="311"/>
    </row>
    <row r="146" spans="1:16" x14ac:dyDescent="0.35">
      <c r="A146" s="285" t="s">
        <v>1</v>
      </c>
      <c r="B146" s="330"/>
      <c r="C146" s="330"/>
      <c r="D146" s="311"/>
      <c r="E146" s="311"/>
      <c r="F146" s="311"/>
      <c r="G146" s="311"/>
      <c r="H146" s="311"/>
    </row>
    <row r="147" spans="1:16" ht="19.5" customHeight="1" x14ac:dyDescent="0.35">
      <c r="A147" s="291">
        <v>1</v>
      </c>
      <c r="B147" s="296" t="s">
        <v>271</v>
      </c>
      <c r="C147" s="291" t="s">
        <v>7</v>
      </c>
      <c r="D147" s="311">
        <v>12.26</v>
      </c>
      <c r="E147" s="311"/>
      <c r="F147" s="311"/>
      <c r="G147" s="311"/>
      <c r="H147" s="311"/>
      <c r="K147" s="57">
        <v>13438.42</v>
      </c>
      <c r="M147" s="57">
        <f>K147*D147</f>
        <v>164755.02919999999</v>
      </c>
      <c r="N147" s="57">
        <f>M147*12</f>
        <v>1977060.3503999999</v>
      </c>
    </row>
    <row r="148" spans="1:16" x14ac:dyDescent="0.35">
      <c r="A148" s="291">
        <v>2</v>
      </c>
      <c r="B148" s="292" t="s">
        <v>142</v>
      </c>
      <c r="C148" s="291" t="s">
        <v>143</v>
      </c>
      <c r="D148" s="310">
        <f>[17]Лист_1!$O$406</f>
        <v>1881007.53</v>
      </c>
      <c r="E148" s="311"/>
      <c r="F148" s="311"/>
      <c r="G148" s="311"/>
      <c r="H148" s="311"/>
      <c r="N148" s="57">
        <v>1988010.53</v>
      </c>
      <c r="O148" s="57" t="s">
        <v>325</v>
      </c>
    </row>
    <row r="149" spans="1:16" x14ac:dyDescent="0.35">
      <c r="A149" s="291">
        <v>3</v>
      </c>
      <c r="B149" s="292" t="s">
        <v>258</v>
      </c>
      <c r="C149" s="291" t="s">
        <v>7</v>
      </c>
      <c r="D149" s="311" t="s">
        <v>352</v>
      </c>
      <c r="E149" s="311"/>
      <c r="F149" s="311"/>
      <c r="G149" s="311"/>
      <c r="H149" s="311"/>
      <c r="N149" s="57">
        <f>N148-N147</f>
        <v>10950.179600000149</v>
      </c>
    </row>
    <row r="150" spans="1:16" x14ac:dyDescent="0.35">
      <c r="A150" s="291">
        <v>4</v>
      </c>
      <c r="B150" s="292" t="s">
        <v>148</v>
      </c>
      <c r="C150" s="291" t="s">
        <v>7</v>
      </c>
      <c r="D150" s="311" t="s">
        <v>155</v>
      </c>
      <c r="E150" s="311"/>
      <c r="F150" s="311"/>
      <c r="G150" s="311"/>
      <c r="H150" s="311"/>
    </row>
    <row r="151" spans="1:16" hidden="1" x14ac:dyDescent="0.35">
      <c r="A151" s="102" t="s">
        <v>0</v>
      </c>
      <c r="B151" s="330" t="s">
        <v>2</v>
      </c>
      <c r="C151" s="330" t="s">
        <v>3</v>
      </c>
      <c r="D151" s="311" t="s">
        <v>4</v>
      </c>
      <c r="E151" s="311"/>
      <c r="F151" s="311"/>
      <c r="G151" s="311"/>
      <c r="H151" s="311"/>
    </row>
    <row r="152" spans="1:16" hidden="1" x14ac:dyDescent="0.35">
      <c r="A152" s="285" t="s">
        <v>1</v>
      </c>
      <c r="B152" s="330"/>
      <c r="C152" s="330"/>
      <c r="D152" s="311"/>
      <c r="E152" s="311"/>
      <c r="F152" s="311"/>
      <c r="G152" s="311"/>
      <c r="H152" s="311"/>
    </row>
    <row r="153" spans="1:16" ht="38" hidden="1" customHeight="1" x14ac:dyDescent="0.35">
      <c r="A153" s="291">
        <v>1</v>
      </c>
      <c r="B153" s="296" t="str">
        <f>[5]Лист_1!$N$7</f>
        <v>Доп.усл.по оформл.платеж.док-в на опл. взнос. на кап.ремонт</v>
      </c>
      <c r="C153" s="291" t="s">
        <v>297</v>
      </c>
      <c r="D153" s="311">
        <v>6</v>
      </c>
      <c r="E153" s="311"/>
      <c r="F153" s="311"/>
      <c r="G153" s="311"/>
      <c r="H153" s="311"/>
      <c r="K153" s="57">
        <f>D153*192</f>
        <v>1152</v>
      </c>
      <c r="L153" s="57">
        <f>K153*12</f>
        <v>13824</v>
      </c>
    </row>
    <row r="154" spans="1:16" hidden="1" x14ac:dyDescent="0.35">
      <c r="A154" s="291">
        <v>2</v>
      </c>
      <c r="B154" s="292" t="s">
        <v>142</v>
      </c>
      <c r="C154" s="291" t="s">
        <v>143</v>
      </c>
      <c r="D154" s="310">
        <f>[13]Лист_1!$AP$404</f>
        <v>135418.95000000001</v>
      </c>
      <c r="E154" s="311"/>
      <c r="F154" s="311"/>
      <c r="G154" s="311"/>
      <c r="H154" s="311"/>
    </row>
    <row r="155" spans="1:16" hidden="1" x14ac:dyDescent="0.35">
      <c r="A155" s="291">
        <v>3</v>
      </c>
      <c r="B155" s="292" t="s">
        <v>258</v>
      </c>
      <c r="C155" s="291" t="s">
        <v>7</v>
      </c>
      <c r="D155" s="311" t="s">
        <v>272</v>
      </c>
      <c r="E155" s="311"/>
      <c r="F155" s="311"/>
      <c r="G155" s="311"/>
      <c r="H155" s="311"/>
    </row>
    <row r="156" spans="1:16" hidden="1" x14ac:dyDescent="0.35">
      <c r="A156" s="291">
        <v>4</v>
      </c>
      <c r="B156" s="292" t="s">
        <v>148</v>
      </c>
      <c r="C156" s="291" t="s">
        <v>7</v>
      </c>
      <c r="D156" s="311" t="s">
        <v>155</v>
      </c>
      <c r="E156" s="311"/>
      <c r="F156" s="311"/>
      <c r="G156" s="311"/>
      <c r="H156" s="311"/>
    </row>
    <row r="157" spans="1:16" hidden="1" x14ac:dyDescent="0.35">
      <c r="A157" s="102" t="s">
        <v>0</v>
      </c>
      <c r="B157" s="330" t="s">
        <v>2</v>
      </c>
      <c r="C157" s="330" t="s">
        <v>3</v>
      </c>
      <c r="D157" s="311" t="s">
        <v>4</v>
      </c>
      <c r="E157" s="311"/>
      <c r="F157" s="311"/>
      <c r="G157" s="311"/>
      <c r="H157" s="311"/>
    </row>
    <row r="158" spans="1:16" hidden="1" x14ac:dyDescent="0.35">
      <c r="A158" s="285" t="s">
        <v>1</v>
      </c>
      <c r="B158" s="330"/>
      <c r="C158" s="330"/>
      <c r="D158" s="311"/>
      <c r="E158" s="311"/>
      <c r="F158" s="311"/>
      <c r="G158" s="311"/>
      <c r="H158" s="311"/>
    </row>
    <row r="159" spans="1:16" ht="38" customHeight="1" x14ac:dyDescent="0.35">
      <c r="A159" s="291">
        <v>1</v>
      </c>
      <c r="B159" s="296" t="str">
        <f>[5]Лист_1!$U$7</f>
        <v>Сод. тер. транспорта</v>
      </c>
      <c r="C159" s="291" t="s">
        <v>298</v>
      </c>
      <c r="D159" s="402">
        <v>900</v>
      </c>
      <c r="E159" s="403"/>
      <c r="F159" s="403"/>
      <c r="G159" s="403"/>
      <c r="H159" s="404"/>
      <c r="J159" s="57" t="e">
        <f>0.55*#REF!</f>
        <v>#REF!</v>
      </c>
      <c r="K159" s="57" t="e">
        <f>J159*12</f>
        <v>#REF!</v>
      </c>
    </row>
    <row r="160" spans="1:16" x14ac:dyDescent="0.35">
      <c r="A160" s="291">
        <v>2</v>
      </c>
      <c r="B160" s="292" t="s">
        <v>142</v>
      </c>
      <c r="C160" s="291" t="s">
        <v>143</v>
      </c>
      <c r="D160" s="405">
        <f>[17]Лист_1!$AW$406</f>
        <v>706414.13</v>
      </c>
      <c r="E160" s="406"/>
      <c r="F160" s="406"/>
      <c r="G160" s="406"/>
      <c r="H160" s="407"/>
      <c r="K160" s="57">
        <f>D159*50*12</f>
        <v>540000</v>
      </c>
      <c r="L160" s="57">
        <f>K160/900</f>
        <v>600</v>
      </c>
      <c r="N160" s="58">
        <f>[3]Лист_1!$S$400</f>
        <v>542700</v>
      </c>
      <c r="O160" s="57">
        <f>N160/12</f>
        <v>45225</v>
      </c>
      <c r="P160" s="57">
        <f>O160/900</f>
        <v>50.25</v>
      </c>
    </row>
    <row r="161" spans="1:11" x14ac:dyDescent="0.35">
      <c r="A161" s="291">
        <v>3</v>
      </c>
      <c r="B161" s="292" t="s">
        <v>258</v>
      </c>
      <c r="C161" s="291" t="s">
        <v>7</v>
      </c>
      <c r="D161" s="402" t="s">
        <v>326</v>
      </c>
      <c r="E161" s="403"/>
      <c r="F161" s="403"/>
      <c r="G161" s="403"/>
      <c r="H161" s="404"/>
    </row>
    <row r="162" spans="1:11" x14ac:dyDescent="0.35">
      <c r="A162" s="291">
        <v>4</v>
      </c>
      <c r="B162" s="292" t="s">
        <v>377</v>
      </c>
      <c r="C162" s="291" t="str">
        <f>C160</f>
        <v>Руб.</v>
      </c>
      <c r="D162" s="405">
        <f>'[6]факт 2025г'!$L$20</f>
        <v>897732.95646728959</v>
      </c>
      <c r="E162" s="406"/>
      <c r="F162" s="406"/>
      <c r="G162" s="406"/>
      <c r="H162" s="407"/>
      <c r="J162" s="57" t="s">
        <v>379</v>
      </c>
    </row>
    <row r="163" spans="1:11" x14ac:dyDescent="0.35">
      <c r="A163" s="291">
        <v>6</v>
      </c>
      <c r="B163" s="292" t="s">
        <v>148</v>
      </c>
      <c r="C163" s="291" t="s">
        <v>7</v>
      </c>
      <c r="D163" s="402" t="s">
        <v>378</v>
      </c>
      <c r="E163" s="403"/>
      <c r="F163" s="403"/>
      <c r="G163" s="403"/>
      <c r="H163" s="404"/>
    </row>
    <row r="164" spans="1:11" x14ac:dyDescent="0.35">
      <c r="A164" s="385" t="s">
        <v>266</v>
      </c>
      <c r="B164" s="386"/>
      <c r="C164" s="386"/>
      <c r="D164" s="386"/>
      <c r="E164" s="386"/>
      <c r="F164" s="386"/>
      <c r="G164" s="386"/>
      <c r="H164" s="387"/>
    </row>
    <row r="165" spans="1:11" x14ac:dyDescent="0.35">
      <c r="A165" s="102" t="s">
        <v>0</v>
      </c>
      <c r="B165" s="285" t="s">
        <v>2</v>
      </c>
      <c r="C165" s="285" t="s">
        <v>3</v>
      </c>
      <c r="D165" s="311" t="s">
        <v>4</v>
      </c>
      <c r="E165" s="311"/>
      <c r="F165" s="311"/>
      <c r="G165" s="311"/>
      <c r="H165" s="311"/>
    </row>
    <row r="166" spans="1:11" x14ac:dyDescent="0.35">
      <c r="A166" s="285" t="s">
        <v>1</v>
      </c>
      <c r="B166" s="129"/>
      <c r="C166" s="129"/>
      <c r="D166" s="311"/>
      <c r="E166" s="311"/>
      <c r="F166" s="311"/>
      <c r="G166" s="311"/>
      <c r="H166" s="311"/>
    </row>
    <row r="167" spans="1:11" x14ac:dyDescent="0.35">
      <c r="A167" s="291">
        <v>1</v>
      </c>
      <c r="B167" s="292" t="s">
        <v>268</v>
      </c>
      <c r="C167" s="130" t="s">
        <v>7</v>
      </c>
      <c r="D167" s="311" t="s">
        <v>370</v>
      </c>
      <c r="E167" s="311"/>
      <c r="F167" s="311"/>
      <c r="G167" s="311"/>
      <c r="H167" s="311"/>
    </row>
    <row r="168" spans="1:11" x14ac:dyDescent="0.35">
      <c r="A168" s="291">
        <v>2</v>
      </c>
      <c r="B168" s="292" t="s">
        <v>106</v>
      </c>
      <c r="C168" s="130" t="s">
        <v>7</v>
      </c>
      <c r="D168" s="311" t="s">
        <v>107</v>
      </c>
      <c r="E168" s="311"/>
      <c r="F168" s="311"/>
      <c r="G168" s="311"/>
      <c r="H168" s="311"/>
    </row>
    <row r="169" spans="1:11" ht="28" customHeight="1" x14ac:dyDescent="0.35">
      <c r="A169" s="291">
        <v>3</v>
      </c>
      <c r="B169" s="292" t="s">
        <v>365</v>
      </c>
      <c r="C169" s="130" t="s">
        <v>141</v>
      </c>
      <c r="D169" s="311" t="s">
        <v>371</v>
      </c>
      <c r="E169" s="311"/>
      <c r="F169" s="311"/>
      <c r="G169" s="311"/>
      <c r="H169" s="311"/>
    </row>
    <row r="170" spans="1:11" x14ac:dyDescent="0.35">
      <c r="A170" s="291">
        <v>4</v>
      </c>
      <c r="B170" s="292" t="s">
        <v>173</v>
      </c>
      <c r="C170" s="130" t="s">
        <v>7</v>
      </c>
      <c r="D170" s="311" t="s">
        <v>317</v>
      </c>
      <c r="E170" s="311"/>
      <c r="F170" s="311"/>
      <c r="G170" s="311"/>
      <c r="H170" s="311"/>
    </row>
    <row r="171" spans="1:11" ht="25" x14ac:dyDescent="0.35">
      <c r="A171" s="291">
        <v>5</v>
      </c>
      <c r="B171" s="292" t="s">
        <v>175</v>
      </c>
      <c r="C171" s="130" t="s">
        <v>7</v>
      </c>
      <c r="D171" s="311" t="s">
        <v>314</v>
      </c>
      <c r="E171" s="311"/>
      <c r="F171" s="311"/>
      <c r="G171" s="311"/>
      <c r="H171" s="311"/>
    </row>
    <row r="172" spans="1:11" x14ac:dyDescent="0.35">
      <c r="A172" s="291">
        <v>6</v>
      </c>
      <c r="B172" s="292" t="s">
        <v>176</v>
      </c>
      <c r="C172" s="130" t="s">
        <v>7</v>
      </c>
      <c r="D172" s="311" t="s">
        <v>372</v>
      </c>
      <c r="E172" s="311"/>
      <c r="F172" s="311"/>
      <c r="G172" s="311"/>
      <c r="H172" s="311"/>
    </row>
    <row r="173" spans="1:11" x14ac:dyDescent="0.35">
      <c r="A173" s="291">
        <v>7</v>
      </c>
      <c r="B173" s="292" t="s">
        <v>180</v>
      </c>
      <c r="C173" s="128" t="s">
        <v>141</v>
      </c>
      <c r="D173" s="310">
        <f>[17]Лист_1!$W$406+[17]Лист_1!$Y$406</f>
        <v>958908.2</v>
      </c>
      <c r="E173" s="311"/>
      <c r="F173" s="311"/>
      <c r="G173" s="311"/>
      <c r="H173" s="311"/>
      <c r="K173" s="57" t="s">
        <v>373</v>
      </c>
    </row>
    <row r="174" spans="1:11" x14ac:dyDescent="0.35">
      <c r="A174" s="291">
        <v>8</v>
      </c>
      <c r="B174" s="292" t="s">
        <v>181</v>
      </c>
      <c r="C174" s="128" t="s">
        <v>141</v>
      </c>
      <c r="D174" s="310">
        <f>[17]Лист_1!$AY$406+[17]Лист_1!$BA$406</f>
        <v>970213.6</v>
      </c>
      <c r="E174" s="311"/>
      <c r="F174" s="311"/>
      <c r="G174" s="311"/>
      <c r="H174" s="311"/>
    </row>
    <row r="175" spans="1:11" x14ac:dyDescent="0.35">
      <c r="A175" s="291">
        <v>9</v>
      </c>
      <c r="B175" s="292" t="s">
        <v>188</v>
      </c>
      <c r="C175" s="128" t="s">
        <v>141</v>
      </c>
      <c r="D175" s="310">
        <f>D173-D174</f>
        <v>-11305.400000000023</v>
      </c>
      <c r="E175" s="311"/>
      <c r="F175" s="311"/>
      <c r="G175" s="311"/>
      <c r="H175" s="311"/>
    </row>
    <row r="176" spans="1:11" x14ac:dyDescent="0.35">
      <c r="A176" s="291">
        <v>10</v>
      </c>
      <c r="B176" s="292" t="s">
        <v>183</v>
      </c>
      <c r="C176" s="128" t="s">
        <v>141</v>
      </c>
      <c r="D176" s="310">
        <f>D173</f>
        <v>958908.2</v>
      </c>
      <c r="E176" s="311"/>
      <c r="F176" s="311"/>
      <c r="G176" s="311"/>
      <c r="H176" s="311"/>
    </row>
    <row r="177" spans="1:22" x14ac:dyDescent="0.35">
      <c r="A177" s="291">
        <v>11</v>
      </c>
      <c r="B177" s="292" t="s">
        <v>184</v>
      </c>
      <c r="C177" s="128" t="s">
        <v>141</v>
      </c>
      <c r="D177" s="310">
        <f>D173</f>
        <v>958908.2</v>
      </c>
      <c r="E177" s="311"/>
      <c r="F177" s="311"/>
      <c r="G177" s="311"/>
      <c r="H177" s="311"/>
    </row>
    <row r="178" spans="1:22" ht="15.5" hidden="1" customHeight="1" x14ac:dyDescent="0.35">
      <c r="A178" s="106"/>
      <c r="B178" s="91"/>
      <c r="C178" s="91"/>
      <c r="D178" s="311"/>
      <c r="E178" s="311"/>
      <c r="F178" s="311"/>
      <c r="G178" s="311"/>
      <c r="H178" s="311"/>
    </row>
    <row r="179" spans="1:22" ht="15.5" hidden="1" customHeight="1" x14ac:dyDescent="0.35">
      <c r="A179" s="291"/>
      <c r="B179" s="292"/>
      <c r="C179" s="291"/>
      <c r="D179" s="311"/>
      <c r="E179" s="311"/>
      <c r="F179" s="311"/>
      <c r="G179" s="311"/>
      <c r="H179" s="311"/>
      <c r="T179" s="58"/>
      <c r="U179" s="58"/>
      <c r="V179" s="58"/>
    </row>
    <row r="180" spans="1:22" ht="15.5" hidden="1" customHeight="1" x14ac:dyDescent="0.35">
      <c r="A180" s="106"/>
      <c r="B180" s="91"/>
      <c r="C180" s="91"/>
      <c r="D180" s="311"/>
      <c r="E180" s="311"/>
      <c r="F180" s="311"/>
      <c r="G180" s="311"/>
      <c r="H180" s="311"/>
      <c r="T180" s="58"/>
      <c r="U180" s="58"/>
      <c r="V180" s="58"/>
    </row>
    <row r="181" spans="1:22" ht="15.5" hidden="1" customHeight="1" x14ac:dyDescent="0.35">
      <c r="A181" s="102" t="s">
        <v>0</v>
      </c>
      <c r="B181" s="330" t="s">
        <v>2</v>
      </c>
      <c r="C181" s="330" t="s">
        <v>3</v>
      </c>
      <c r="D181" s="311" t="s">
        <v>4</v>
      </c>
      <c r="E181" s="311"/>
      <c r="F181" s="311"/>
      <c r="G181" s="311"/>
      <c r="H181" s="311"/>
      <c r="T181" s="58"/>
      <c r="U181" s="58"/>
      <c r="V181" s="58"/>
    </row>
    <row r="182" spans="1:22" ht="15.5" hidden="1" customHeight="1" x14ac:dyDescent="0.35">
      <c r="A182" s="285" t="s">
        <v>1</v>
      </c>
      <c r="B182" s="330"/>
      <c r="C182" s="330"/>
      <c r="D182" s="311"/>
      <c r="E182" s="311"/>
      <c r="F182" s="311"/>
      <c r="G182" s="311"/>
      <c r="H182" s="311"/>
      <c r="T182" s="58"/>
      <c r="U182" s="58"/>
      <c r="V182" s="58"/>
    </row>
    <row r="183" spans="1:22" ht="15.5" hidden="1" customHeight="1" x14ac:dyDescent="0.35">
      <c r="A183" s="291" t="s">
        <v>5</v>
      </c>
      <c r="B183" s="292" t="s">
        <v>6</v>
      </c>
      <c r="C183" s="291" t="s">
        <v>7</v>
      </c>
      <c r="D183" s="311">
        <v>43851</v>
      </c>
      <c r="E183" s="311"/>
      <c r="F183" s="311"/>
      <c r="G183" s="311"/>
      <c r="H183" s="311"/>
      <c r="T183" s="58"/>
      <c r="U183" s="58"/>
      <c r="V183" s="58"/>
    </row>
    <row r="184" spans="1:22" ht="15.5" hidden="1" customHeight="1" x14ac:dyDescent="0.35">
      <c r="A184" s="291" t="s">
        <v>9</v>
      </c>
      <c r="B184" s="292" t="s">
        <v>194</v>
      </c>
      <c r="C184" s="291" t="s">
        <v>7</v>
      </c>
      <c r="D184" s="311" t="s">
        <v>195</v>
      </c>
      <c r="E184" s="311"/>
      <c r="F184" s="311"/>
      <c r="G184" s="311"/>
      <c r="H184" s="311"/>
      <c r="T184" s="58"/>
      <c r="U184" s="58"/>
      <c r="V184" s="58"/>
    </row>
    <row r="185" spans="1:22" ht="15.5" hidden="1" customHeight="1" x14ac:dyDescent="0.35">
      <c r="A185" s="291" t="s">
        <v>12</v>
      </c>
      <c r="B185" s="292" t="s">
        <v>106</v>
      </c>
      <c r="C185" s="291" t="s">
        <v>7</v>
      </c>
      <c r="D185" s="311" t="s">
        <v>107</v>
      </c>
      <c r="E185" s="311"/>
      <c r="F185" s="311"/>
      <c r="G185" s="311"/>
      <c r="H185" s="311"/>
      <c r="T185" s="58"/>
      <c r="U185" s="58"/>
      <c r="V185" s="58"/>
    </row>
    <row r="186" spans="1:22" ht="15.5" hidden="1" customHeight="1" x14ac:dyDescent="0.35">
      <c r="A186" s="291" t="s">
        <v>15</v>
      </c>
      <c r="B186" s="292" t="s">
        <v>172</v>
      </c>
      <c r="C186" s="291" t="s">
        <v>141</v>
      </c>
      <c r="D186" s="311" t="s">
        <v>196</v>
      </c>
      <c r="E186" s="311"/>
      <c r="F186" s="311"/>
      <c r="G186" s="311"/>
      <c r="H186" s="311"/>
      <c r="T186" s="58"/>
      <c r="U186" s="58"/>
      <c r="V186" s="58"/>
    </row>
    <row r="187" spans="1:22" ht="15.5" hidden="1" customHeight="1" x14ac:dyDescent="0.35">
      <c r="A187" s="291" t="s">
        <v>18</v>
      </c>
      <c r="B187" s="292" t="s">
        <v>173</v>
      </c>
      <c r="C187" s="291" t="s">
        <v>7</v>
      </c>
      <c r="D187" s="311" t="s">
        <v>197</v>
      </c>
      <c r="E187" s="311"/>
      <c r="F187" s="311"/>
      <c r="G187" s="311"/>
      <c r="H187" s="311"/>
      <c r="T187" s="58"/>
      <c r="U187" s="58"/>
      <c r="V187" s="58"/>
    </row>
    <row r="188" spans="1:22" ht="15.5" hidden="1" customHeight="1" x14ac:dyDescent="0.35">
      <c r="A188" s="336" t="s">
        <v>21</v>
      </c>
      <c r="B188" s="359" t="s">
        <v>175</v>
      </c>
      <c r="C188" s="336" t="s">
        <v>7</v>
      </c>
      <c r="D188" s="311" t="s">
        <v>198</v>
      </c>
      <c r="E188" s="311"/>
      <c r="F188" s="311"/>
      <c r="G188" s="311"/>
      <c r="H188" s="311"/>
      <c r="T188" s="58"/>
      <c r="U188" s="58"/>
      <c r="V188" s="58"/>
    </row>
    <row r="189" spans="1:22" ht="26" hidden="1" customHeight="1" x14ac:dyDescent="0.35">
      <c r="A189" s="336"/>
      <c r="B189" s="359"/>
      <c r="C189" s="336"/>
      <c r="D189" s="311" t="s">
        <v>199</v>
      </c>
      <c r="E189" s="311"/>
      <c r="F189" s="311"/>
      <c r="G189" s="311"/>
      <c r="H189" s="311"/>
      <c r="T189" s="58"/>
      <c r="U189" s="58"/>
      <c r="V189" s="58"/>
    </row>
    <row r="190" spans="1:22" ht="15.5" hidden="1" customHeight="1" x14ac:dyDescent="0.35">
      <c r="A190" s="291" t="s">
        <v>23</v>
      </c>
      <c r="B190" s="292" t="s">
        <v>176</v>
      </c>
      <c r="C190" s="130" t="s">
        <v>7</v>
      </c>
      <c r="D190" s="311" t="s">
        <v>177</v>
      </c>
      <c r="E190" s="311"/>
      <c r="F190" s="311"/>
      <c r="G190" s="311"/>
      <c r="H190" s="311"/>
      <c r="T190" s="58"/>
      <c r="U190" s="58"/>
      <c r="V190" s="58"/>
    </row>
    <row r="191" spans="1:22" ht="15.5" hidden="1" customHeight="1" x14ac:dyDescent="0.35">
      <c r="A191" s="291" t="s">
        <v>26</v>
      </c>
      <c r="B191" s="292" t="s">
        <v>178</v>
      </c>
      <c r="C191" s="128" t="s">
        <v>107</v>
      </c>
      <c r="D191" s="311">
        <v>457.84</v>
      </c>
      <c r="E191" s="311"/>
      <c r="F191" s="311"/>
      <c r="G191" s="311"/>
      <c r="H191" s="311"/>
      <c r="T191" s="58"/>
      <c r="U191" s="58"/>
      <c r="V191" s="58"/>
    </row>
    <row r="192" spans="1:22" ht="15.5" hidden="1" customHeight="1" x14ac:dyDescent="0.35">
      <c r="A192" s="291">
        <v>9</v>
      </c>
      <c r="B192" s="292" t="s">
        <v>180</v>
      </c>
      <c r="C192" s="128" t="s">
        <v>141</v>
      </c>
      <c r="D192" s="311">
        <v>896686.22</v>
      </c>
      <c r="E192" s="311"/>
      <c r="F192" s="311"/>
      <c r="G192" s="311"/>
      <c r="H192" s="311"/>
      <c r="T192" s="58"/>
      <c r="U192" s="58"/>
      <c r="V192" s="58"/>
    </row>
    <row r="193" spans="1:23" ht="15.5" hidden="1" customHeight="1" x14ac:dyDescent="0.35">
      <c r="A193" s="291">
        <v>10</v>
      </c>
      <c r="B193" s="292" t="s">
        <v>181</v>
      </c>
      <c r="C193" s="128" t="s">
        <v>141</v>
      </c>
      <c r="D193" s="311" t="s">
        <v>200</v>
      </c>
      <c r="E193" s="311"/>
      <c r="F193" s="311"/>
      <c r="G193" s="311"/>
      <c r="H193" s="311"/>
      <c r="T193" s="58"/>
      <c r="U193" s="58"/>
      <c r="V193" s="58"/>
    </row>
    <row r="194" spans="1:23" ht="15.5" hidden="1" customHeight="1" x14ac:dyDescent="0.35">
      <c r="A194" s="291">
        <v>11</v>
      </c>
      <c r="B194" s="292" t="s">
        <v>188</v>
      </c>
      <c r="C194" s="128" t="s">
        <v>141</v>
      </c>
      <c r="D194" s="311" t="s">
        <v>201</v>
      </c>
      <c r="E194" s="311"/>
      <c r="F194" s="311"/>
      <c r="G194" s="311"/>
      <c r="H194" s="311"/>
      <c r="T194" s="58"/>
      <c r="U194" s="58"/>
      <c r="V194" s="58"/>
    </row>
    <row r="195" spans="1:23" ht="15.5" hidden="1" customHeight="1" x14ac:dyDescent="0.35">
      <c r="A195" s="291">
        <v>12</v>
      </c>
      <c r="B195" s="292" t="s">
        <v>183</v>
      </c>
      <c r="C195" s="128" t="s">
        <v>141</v>
      </c>
      <c r="D195" s="311">
        <v>896686.22</v>
      </c>
      <c r="E195" s="311"/>
      <c r="F195" s="311"/>
      <c r="G195" s="311"/>
      <c r="H195" s="311"/>
      <c r="T195" s="58"/>
      <c r="U195" s="58"/>
      <c r="V195" s="58"/>
    </row>
    <row r="196" spans="1:23" ht="15.5" hidden="1" customHeight="1" x14ac:dyDescent="0.35">
      <c r="A196" s="291">
        <v>13</v>
      </c>
      <c r="B196" s="292" t="s">
        <v>184</v>
      </c>
      <c r="C196" s="128" t="s">
        <v>141</v>
      </c>
      <c r="D196" s="311">
        <v>896686.22</v>
      </c>
      <c r="E196" s="311"/>
      <c r="F196" s="311"/>
      <c r="G196" s="311"/>
      <c r="H196" s="311"/>
      <c r="T196" s="58"/>
      <c r="U196" s="58"/>
      <c r="V196" s="58"/>
    </row>
    <row r="197" spans="1:23" ht="15.5" hidden="1" customHeight="1" x14ac:dyDescent="0.35">
      <c r="A197" s="106"/>
      <c r="B197" s="91"/>
      <c r="C197" s="91"/>
      <c r="D197" s="311"/>
      <c r="E197" s="311"/>
      <c r="F197" s="311"/>
      <c r="G197" s="311"/>
      <c r="H197" s="311"/>
      <c r="T197" s="58"/>
      <c r="U197" s="58"/>
      <c r="V197" s="58"/>
    </row>
    <row r="198" spans="1:23" x14ac:dyDescent="0.35">
      <c r="A198" s="291" t="s">
        <v>0</v>
      </c>
      <c r="B198" s="330" t="s">
        <v>2</v>
      </c>
      <c r="C198" s="330" t="s">
        <v>3</v>
      </c>
      <c r="D198" s="311" t="s">
        <v>4</v>
      </c>
      <c r="E198" s="311"/>
      <c r="F198" s="311"/>
      <c r="G198" s="311"/>
      <c r="H198" s="311"/>
      <c r="T198" s="58"/>
      <c r="U198" s="58"/>
      <c r="V198" s="58"/>
      <c r="W198" s="58" t="e">
        <f>#REF!+#REF!</f>
        <v>#REF!</v>
      </c>
    </row>
    <row r="199" spans="1:23" x14ac:dyDescent="0.35">
      <c r="A199" s="285" t="s">
        <v>1</v>
      </c>
      <c r="B199" s="330"/>
      <c r="C199" s="330"/>
      <c r="D199" s="311"/>
      <c r="E199" s="311"/>
      <c r="F199" s="311"/>
      <c r="G199" s="311"/>
      <c r="H199" s="311"/>
      <c r="T199" s="58"/>
      <c r="U199" s="58">
        <f>'[7]проверка 25 год'!$AU$15</f>
        <v>432876.7899999998</v>
      </c>
      <c r="V199" s="58"/>
    </row>
    <row r="200" spans="1:23" x14ac:dyDescent="0.35">
      <c r="A200" s="291">
        <v>1</v>
      </c>
      <c r="B200" s="292" t="s">
        <v>202</v>
      </c>
      <c r="C200" s="291" t="s">
        <v>7</v>
      </c>
      <c r="D200" s="311" t="s">
        <v>482</v>
      </c>
      <c r="E200" s="311"/>
      <c r="F200" s="311"/>
      <c r="G200" s="311"/>
      <c r="H200" s="311"/>
    </row>
    <row r="201" spans="1:23" x14ac:dyDescent="0.35">
      <c r="A201" s="291">
        <v>2</v>
      </c>
      <c r="B201" s="292" t="s">
        <v>106</v>
      </c>
      <c r="C201" s="291" t="s">
        <v>7</v>
      </c>
      <c r="D201" s="311" t="s">
        <v>107</v>
      </c>
      <c r="E201" s="311"/>
      <c r="F201" s="311"/>
      <c r="G201" s="311"/>
      <c r="H201" s="311"/>
      <c r="U201" s="57">
        <v>2024693.37</v>
      </c>
      <c r="V201" s="57" t="s">
        <v>383</v>
      </c>
      <c r="W201" s="57">
        <f>U201-15070.29</f>
        <v>2009623.08</v>
      </c>
    </row>
    <row r="202" spans="1:23" x14ac:dyDescent="0.35">
      <c r="A202" s="291">
        <v>3</v>
      </c>
      <c r="B202" s="292" t="s">
        <v>172</v>
      </c>
      <c r="C202" s="291" t="s">
        <v>141</v>
      </c>
      <c r="D202" s="311" t="s">
        <v>371</v>
      </c>
      <c r="E202" s="311"/>
      <c r="F202" s="311"/>
      <c r="G202" s="311"/>
      <c r="H202" s="311"/>
    </row>
    <row r="203" spans="1:23" x14ac:dyDescent="0.35">
      <c r="A203" s="291">
        <v>4</v>
      </c>
      <c r="B203" s="292" t="s">
        <v>173</v>
      </c>
      <c r="C203" s="291" t="s">
        <v>7</v>
      </c>
      <c r="D203" s="311" t="s">
        <v>317</v>
      </c>
      <c r="E203" s="311"/>
      <c r="F203" s="311"/>
      <c r="G203" s="311"/>
      <c r="H203" s="311"/>
      <c r="U203" s="58" t="e">
        <f>U201-#REF!-#REF!</f>
        <v>#REF!</v>
      </c>
      <c r="W203" s="58" t="e">
        <f>W198-U199</f>
        <v>#REF!</v>
      </c>
    </row>
    <row r="204" spans="1:23" ht="25" x14ac:dyDescent="0.35">
      <c r="A204" s="291">
        <v>5</v>
      </c>
      <c r="B204" s="292" t="s">
        <v>175</v>
      </c>
      <c r="C204" s="291" t="s">
        <v>7</v>
      </c>
      <c r="D204" s="311" t="s">
        <v>328</v>
      </c>
      <c r="E204" s="311"/>
      <c r="F204" s="311"/>
      <c r="G204" s="311"/>
      <c r="H204" s="311"/>
      <c r="U204" s="58" t="e">
        <f>U203+U199</f>
        <v>#REF!</v>
      </c>
    </row>
    <row r="205" spans="1:23" x14ac:dyDescent="0.35">
      <c r="A205" s="291">
        <v>6</v>
      </c>
      <c r="B205" s="292" t="s">
        <v>176</v>
      </c>
      <c r="C205" s="130" t="s">
        <v>7</v>
      </c>
      <c r="D205" s="311" t="s">
        <v>372</v>
      </c>
      <c r="E205" s="311"/>
      <c r="F205" s="311"/>
      <c r="G205" s="311"/>
      <c r="H205" s="311"/>
    </row>
    <row r="206" spans="1:23" x14ac:dyDescent="0.35">
      <c r="A206" s="291">
        <v>7</v>
      </c>
      <c r="B206" s="292" t="s">
        <v>180</v>
      </c>
      <c r="C206" s="128" t="s">
        <v>141</v>
      </c>
      <c r="D206" s="310">
        <f>[17]Лист_1!$R$406</f>
        <v>2684547.81</v>
      </c>
      <c r="E206" s="311"/>
      <c r="F206" s="311"/>
      <c r="G206" s="311"/>
      <c r="H206" s="311"/>
    </row>
    <row r="207" spans="1:23" x14ac:dyDescent="0.35">
      <c r="A207" s="291">
        <v>8</v>
      </c>
      <c r="B207" s="292" t="s">
        <v>181</v>
      </c>
      <c r="C207" s="128" t="s">
        <v>141</v>
      </c>
      <c r="D207" s="310">
        <f>[17]Лист_1!$AT$406</f>
        <v>2615308.81</v>
      </c>
      <c r="E207" s="311"/>
      <c r="F207" s="311"/>
      <c r="G207" s="311"/>
      <c r="H207" s="311"/>
    </row>
    <row r="208" spans="1:23" x14ac:dyDescent="0.35">
      <c r="A208" s="291">
        <v>9</v>
      </c>
      <c r="B208" s="292" t="s">
        <v>188</v>
      </c>
      <c r="C208" s="128" t="s">
        <v>141</v>
      </c>
      <c r="D208" s="311">
        <f>D206-D207</f>
        <v>69239</v>
      </c>
      <c r="E208" s="311"/>
      <c r="F208" s="311"/>
      <c r="G208" s="311"/>
      <c r="H208" s="311"/>
      <c r="U208" s="57" t="s">
        <v>361</v>
      </c>
      <c r="V208" s="57" t="s">
        <v>384</v>
      </c>
      <c r="W208" s="57" t="s">
        <v>385</v>
      </c>
    </row>
    <row r="209" spans="1:24" x14ac:dyDescent="0.35">
      <c r="A209" s="291">
        <v>10</v>
      </c>
      <c r="B209" s="292" t="s">
        <v>183</v>
      </c>
      <c r="C209" s="128" t="s">
        <v>141</v>
      </c>
      <c r="D209" s="310">
        <f>D206</f>
        <v>2684547.81</v>
      </c>
      <c r="E209" s="311"/>
      <c r="F209" s="311"/>
      <c r="G209" s="311"/>
      <c r="H209" s="311"/>
      <c r="T209" s="57">
        <v>4284306.9000000004</v>
      </c>
      <c r="U209" s="58" t="str">
        <f>D151</f>
        <v>Значение</v>
      </c>
      <c r="V209" s="58">
        <f>D173</f>
        <v>958908.2</v>
      </c>
      <c r="W209" s="58">
        <f>D206</f>
        <v>2684547.81</v>
      </c>
      <c r="X209" s="58" t="e">
        <f>U209+V209+W209</f>
        <v>#VALUE!</v>
      </c>
    </row>
    <row r="210" spans="1:24" x14ac:dyDescent="0.35">
      <c r="A210" s="291">
        <v>11</v>
      </c>
      <c r="B210" s="292" t="s">
        <v>184</v>
      </c>
      <c r="C210" s="128" t="s">
        <v>141</v>
      </c>
      <c r="D210" s="310">
        <f>D209</f>
        <v>2684547.81</v>
      </c>
      <c r="E210" s="311"/>
      <c r="F210" s="311"/>
      <c r="G210" s="311"/>
      <c r="H210" s="311"/>
    </row>
    <row r="211" spans="1:24" ht="15.5" hidden="1" customHeight="1" x14ac:dyDescent="0.35">
      <c r="A211" s="106"/>
      <c r="B211" s="91"/>
      <c r="C211" s="91"/>
      <c r="D211" s="311"/>
      <c r="E211" s="311"/>
      <c r="F211" s="311"/>
      <c r="G211" s="311"/>
      <c r="H211" s="311"/>
    </row>
    <row r="212" spans="1:24" x14ac:dyDescent="0.35">
      <c r="A212" s="291" t="s">
        <v>0</v>
      </c>
      <c r="B212" s="330" t="s">
        <v>2</v>
      </c>
      <c r="C212" s="330" t="s">
        <v>3</v>
      </c>
      <c r="D212" s="311" t="s">
        <v>4</v>
      </c>
      <c r="E212" s="311"/>
      <c r="F212" s="311"/>
      <c r="G212" s="311"/>
      <c r="H212" s="311"/>
    </row>
    <row r="213" spans="1:24" x14ac:dyDescent="0.35">
      <c r="A213" s="285" t="s">
        <v>1</v>
      </c>
      <c r="B213" s="330"/>
      <c r="C213" s="330"/>
      <c r="D213" s="311"/>
      <c r="E213" s="311"/>
      <c r="F213" s="311"/>
      <c r="G213" s="311"/>
      <c r="H213" s="311"/>
    </row>
    <row r="214" spans="1:24" x14ac:dyDescent="0.35">
      <c r="A214" s="291">
        <v>1</v>
      </c>
      <c r="B214" s="292" t="s">
        <v>481</v>
      </c>
      <c r="C214" s="291" t="s">
        <v>7</v>
      </c>
      <c r="D214" s="311" t="s">
        <v>205</v>
      </c>
      <c r="E214" s="311"/>
      <c r="F214" s="311"/>
      <c r="G214" s="311"/>
      <c r="H214" s="311"/>
    </row>
    <row r="215" spans="1:24" x14ac:dyDescent="0.35">
      <c r="A215" s="291">
        <v>2</v>
      </c>
      <c r="B215" s="292" t="s">
        <v>106</v>
      </c>
      <c r="C215" s="291" t="s">
        <v>7</v>
      </c>
      <c r="D215" s="311" t="s">
        <v>158</v>
      </c>
      <c r="E215" s="311"/>
      <c r="F215" s="311"/>
      <c r="G215" s="311"/>
      <c r="H215" s="311"/>
    </row>
    <row r="216" spans="1:24" ht="37.5" x14ac:dyDescent="0.35">
      <c r="A216" s="291">
        <v>3</v>
      </c>
      <c r="B216" s="292" t="s">
        <v>172</v>
      </c>
      <c r="C216" s="291" t="s">
        <v>269</v>
      </c>
      <c r="D216" s="311" t="s">
        <v>376</v>
      </c>
      <c r="E216" s="311"/>
      <c r="F216" s="311"/>
      <c r="G216" s="311"/>
      <c r="H216" s="311"/>
      <c r="K216" s="57" t="s">
        <v>318</v>
      </c>
    </row>
    <row r="217" spans="1:24" x14ac:dyDescent="0.35">
      <c r="A217" s="291">
        <v>4</v>
      </c>
      <c r="B217" s="292" t="s">
        <v>173</v>
      </c>
      <c r="C217" s="291" t="s">
        <v>7</v>
      </c>
      <c r="D217" s="383" t="s">
        <v>270</v>
      </c>
      <c r="E217" s="383"/>
      <c r="F217" s="383"/>
      <c r="G217" s="383"/>
      <c r="H217" s="383"/>
      <c r="K217" s="57" t="s">
        <v>319</v>
      </c>
    </row>
    <row r="218" spans="1:24" ht="25" x14ac:dyDescent="0.35">
      <c r="A218" s="291">
        <v>5</v>
      </c>
      <c r="B218" s="292" t="s">
        <v>175</v>
      </c>
      <c r="C218" s="291" t="s">
        <v>7</v>
      </c>
      <c r="D218" s="311" t="s">
        <v>327</v>
      </c>
      <c r="E218" s="311"/>
      <c r="F218" s="311"/>
      <c r="G218" s="311"/>
      <c r="H218" s="311"/>
    </row>
    <row r="219" spans="1:24" x14ac:dyDescent="0.35">
      <c r="A219" s="291">
        <v>6</v>
      </c>
      <c r="B219" s="292" t="s">
        <v>176</v>
      </c>
      <c r="C219" s="130" t="s">
        <v>7</v>
      </c>
      <c r="D219" s="311" t="s">
        <v>359</v>
      </c>
      <c r="E219" s="311"/>
      <c r="F219" s="311"/>
      <c r="G219" s="311"/>
      <c r="H219" s="311"/>
      <c r="K219" s="57" t="str">
        <f>K216</f>
        <v>проверить тарифы</v>
      </c>
    </row>
    <row r="220" spans="1:24" x14ac:dyDescent="0.35">
      <c r="A220" s="291">
        <v>7</v>
      </c>
      <c r="B220" s="292" t="s">
        <v>180</v>
      </c>
      <c r="C220" s="128" t="s">
        <v>141</v>
      </c>
      <c r="D220" s="310">
        <f>[17]Лист_1!$I$406+[17]Лист_1!$J$406</f>
        <v>750289.23</v>
      </c>
      <c r="E220" s="311"/>
      <c r="F220" s="311"/>
      <c r="G220" s="311"/>
      <c r="H220" s="311"/>
    </row>
    <row r="221" spans="1:24" x14ac:dyDescent="0.35">
      <c r="A221" s="291">
        <v>8</v>
      </c>
      <c r="B221" s="292" t="s">
        <v>181</v>
      </c>
      <c r="C221" s="128" t="s">
        <v>141</v>
      </c>
      <c r="D221" s="310">
        <f>[17]Лист_1!$AJ$406+[17]Лист_1!$AK$406+[17]Лист_1!$AL$406</f>
        <v>721798.09</v>
      </c>
      <c r="E221" s="311"/>
      <c r="F221" s="311"/>
      <c r="G221" s="311"/>
      <c r="H221" s="311"/>
    </row>
    <row r="222" spans="1:24" x14ac:dyDescent="0.35">
      <c r="A222" s="291">
        <v>9</v>
      </c>
      <c r="B222" s="292" t="s">
        <v>188</v>
      </c>
      <c r="C222" s="128" t="s">
        <v>141</v>
      </c>
      <c r="D222" s="311">
        <f>D220-D221</f>
        <v>28491.140000000014</v>
      </c>
      <c r="E222" s="311"/>
      <c r="F222" s="311"/>
      <c r="G222" s="311"/>
      <c r="H222" s="311"/>
    </row>
    <row r="223" spans="1:24" x14ac:dyDescent="0.35">
      <c r="A223" s="291">
        <v>10</v>
      </c>
      <c r="B223" s="292" t="s">
        <v>183</v>
      </c>
      <c r="C223" s="128" t="s">
        <v>141</v>
      </c>
      <c r="D223" s="311">
        <f>D220</f>
        <v>750289.23</v>
      </c>
      <c r="E223" s="311"/>
      <c r="F223" s="311"/>
      <c r="G223" s="311"/>
      <c r="H223" s="311"/>
    </row>
    <row r="224" spans="1:24" x14ac:dyDescent="0.35">
      <c r="A224" s="291">
        <v>11</v>
      </c>
      <c r="B224" s="292" t="s">
        <v>184</v>
      </c>
      <c r="C224" s="128" t="s">
        <v>141</v>
      </c>
      <c r="D224" s="311">
        <f>D223</f>
        <v>750289.23</v>
      </c>
      <c r="E224" s="311"/>
      <c r="F224" s="311"/>
      <c r="G224" s="311"/>
      <c r="H224" s="311"/>
    </row>
    <row r="225" spans="1:11" x14ac:dyDescent="0.35">
      <c r="A225" s="285" t="s">
        <v>1</v>
      </c>
      <c r="B225" s="285"/>
      <c r="C225" s="285"/>
      <c r="D225" s="311"/>
      <c r="E225" s="311"/>
      <c r="F225" s="311"/>
      <c r="G225" s="311"/>
      <c r="H225" s="311"/>
    </row>
    <row r="226" spans="1:11" ht="16" hidden="1" customHeight="1" x14ac:dyDescent="0.35">
      <c r="A226" s="291" t="s">
        <v>5</v>
      </c>
      <c r="B226" s="292" t="s">
        <v>6</v>
      </c>
      <c r="C226" s="291" t="s">
        <v>7</v>
      </c>
      <c r="D226" s="311">
        <v>43851</v>
      </c>
      <c r="E226" s="311"/>
      <c r="F226" s="311"/>
      <c r="G226" s="311"/>
      <c r="H226" s="311"/>
    </row>
    <row r="227" spans="1:11" x14ac:dyDescent="0.35">
      <c r="A227" s="291">
        <v>1</v>
      </c>
      <c r="B227" s="292" t="s">
        <v>149</v>
      </c>
      <c r="C227" s="291" t="s">
        <v>7</v>
      </c>
      <c r="D227" s="334" t="s">
        <v>157</v>
      </c>
      <c r="E227" s="334"/>
      <c r="F227" s="334"/>
      <c r="G227" s="334"/>
      <c r="H227" s="334"/>
      <c r="J227" s="57" t="s">
        <v>501</v>
      </c>
    </row>
    <row r="228" spans="1:11" x14ac:dyDescent="0.35">
      <c r="A228" s="291">
        <v>2</v>
      </c>
      <c r="B228" s="292" t="s">
        <v>154</v>
      </c>
      <c r="C228" s="291" t="s">
        <v>7</v>
      </c>
      <c r="D228" s="311" t="s">
        <v>158</v>
      </c>
      <c r="E228" s="311"/>
      <c r="F228" s="311"/>
      <c r="G228" s="311"/>
      <c r="H228" s="311"/>
    </row>
    <row r="229" spans="1:11" x14ac:dyDescent="0.35">
      <c r="A229" s="291">
        <v>3</v>
      </c>
      <c r="B229" s="292" t="s">
        <v>264</v>
      </c>
      <c r="C229" s="125"/>
      <c r="D229" s="311"/>
      <c r="E229" s="311"/>
      <c r="F229" s="311"/>
      <c r="G229" s="311"/>
      <c r="H229" s="311"/>
    </row>
    <row r="230" spans="1:11" x14ac:dyDescent="0.35">
      <c r="A230" s="291" t="s">
        <v>218</v>
      </c>
      <c r="B230" s="295" t="s">
        <v>353</v>
      </c>
      <c r="C230" s="126" t="s">
        <v>308</v>
      </c>
      <c r="D230" s="311">
        <v>0.17799999999999999</v>
      </c>
      <c r="E230" s="311"/>
      <c r="F230" s="311"/>
      <c r="G230" s="311"/>
      <c r="H230" s="311"/>
    </row>
    <row r="231" spans="1:11" x14ac:dyDescent="0.35">
      <c r="A231" s="291" t="s">
        <v>219</v>
      </c>
      <c r="B231" s="295" t="s">
        <v>354</v>
      </c>
      <c r="C231" s="126" t="s">
        <v>308</v>
      </c>
      <c r="D231" s="311">
        <v>0.65100000000000002</v>
      </c>
      <c r="E231" s="311"/>
      <c r="F231" s="311"/>
      <c r="G231" s="311"/>
      <c r="H231" s="311"/>
    </row>
    <row r="232" spans="1:11" x14ac:dyDescent="0.35">
      <c r="A232" s="291" t="s">
        <v>221</v>
      </c>
      <c r="B232" s="295" t="s">
        <v>161</v>
      </c>
      <c r="C232" s="126" t="s">
        <v>309</v>
      </c>
      <c r="D232" s="311">
        <v>0.17799999999999999</v>
      </c>
      <c r="E232" s="311"/>
      <c r="F232" s="311"/>
      <c r="G232" s="311"/>
      <c r="H232" s="311"/>
    </row>
    <row r="233" spans="1:11" x14ac:dyDescent="0.35">
      <c r="A233" s="291" t="s">
        <v>222</v>
      </c>
      <c r="B233" s="295" t="s">
        <v>163</v>
      </c>
      <c r="C233" s="126" t="s">
        <v>310</v>
      </c>
      <c r="D233" s="311">
        <v>6.0609999999999999</v>
      </c>
      <c r="E233" s="311"/>
      <c r="F233" s="311"/>
      <c r="G233" s="311"/>
      <c r="H233" s="311"/>
    </row>
    <row r="234" spans="1:11" x14ac:dyDescent="0.35">
      <c r="A234" s="291" t="s">
        <v>355</v>
      </c>
      <c r="B234" s="295" t="s">
        <v>165</v>
      </c>
      <c r="C234" s="126" t="s">
        <v>311</v>
      </c>
      <c r="D234" s="311">
        <v>0.313</v>
      </c>
      <c r="E234" s="311"/>
      <c r="F234" s="311"/>
      <c r="G234" s="311"/>
      <c r="H234" s="311"/>
    </row>
    <row r="235" spans="1:11" x14ac:dyDescent="0.35">
      <c r="A235" s="291">
        <v>4</v>
      </c>
      <c r="B235" s="332" t="s">
        <v>477</v>
      </c>
      <c r="C235" s="332"/>
      <c r="D235" s="332"/>
      <c r="E235" s="332"/>
      <c r="F235" s="332"/>
      <c r="G235" s="332"/>
      <c r="H235" s="332"/>
    </row>
    <row r="236" spans="1:11" x14ac:dyDescent="0.35">
      <c r="A236" s="291" t="s">
        <v>159</v>
      </c>
      <c r="B236" s="295" t="s">
        <v>356</v>
      </c>
      <c r="C236" s="126" t="s">
        <v>141</v>
      </c>
      <c r="D236" s="310">
        <f>[17]Лист_1!$K$406</f>
        <v>30009.31</v>
      </c>
      <c r="E236" s="311"/>
      <c r="F236" s="311"/>
      <c r="G236" s="311"/>
      <c r="H236" s="311"/>
      <c r="K236" s="58"/>
    </row>
    <row r="237" spans="1:11" x14ac:dyDescent="0.35">
      <c r="A237" s="291" t="s">
        <v>160</v>
      </c>
      <c r="B237" s="295" t="s">
        <v>357</v>
      </c>
      <c r="C237" s="126"/>
      <c r="D237" s="310">
        <f>[17]Лист_1!$L$406+[17]Лист_1!$M$406</f>
        <v>101094.11</v>
      </c>
      <c r="E237" s="311"/>
      <c r="F237" s="311"/>
      <c r="G237" s="311"/>
      <c r="H237" s="311"/>
      <c r="K237" s="58"/>
    </row>
    <row r="238" spans="1:11" x14ac:dyDescent="0.35">
      <c r="A238" s="291" t="s">
        <v>162</v>
      </c>
      <c r="B238" s="295" t="s">
        <v>161</v>
      </c>
      <c r="C238" s="126" t="s">
        <v>141</v>
      </c>
      <c r="D238" s="310">
        <f>[17]Лист_1!$Z$406</f>
        <v>30009.97</v>
      </c>
      <c r="E238" s="311"/>
      <c r="F238" s="311"/>
      <c r="G238" s="311"/>
      <c r="H238" s="311"/>
    </row>
    <row r="239" spans="1:11" x14ac:dyDescent="0.35">
      <c r="A239" s="291" t="s">
        <v>164</v>
      </c>
      <c r="B239" s="295" t="s">
        <v>163</v>
      </c>
      <c r="C239" s="126" t="s">
        <v>141</v>
      </c>
      <c r="D239" s="310">
        <f>[17]Лист_1!$AA$406</f>
        <v>880984.27</v>
      </c>
      <c r="E239" s="311"/>
      <c r="F239" s="311"/>
      <c r="G239" s="311"/>
      <c r="H239" s="311"/>
    </row>
    <row r="240" spans="1:11" x14ac:dyDescent="0.35">
      <c r="A240" s="291" t="s">
        <v>358</v>
      </c>
      <c r="B240" s="295" t="s">
        <v>165</v>
      </c>
      <c r="C240" s="126" t="s">
        <v>141</v>
      </c>
      <c r="D240" s="310">
        <f>[17]Лист_1!$H$406</f>
        <v>39589.01</v>
      </c>
      <c r="E240" s="311"/>
      <c r="F240" s="311"/>
      <c r="G240" s="311"/>
      <c r="H240" s="311"/>
    </row>
    <row r="241" spans="1:8" x14ac:dyDescent="0.35">
      <c r="A241" s="291">
        <v>5</v>
      </c>
      <c r="B241" s="295" t="s">
        <v>476</v>
      </c>
      <c r="C241" s="126" t="s">
        <v>141</v>
      </c>
      <c r="D241" s="310">
        <f>[17]Лист_1!$AC$406</f>
        <v>-501728.1</v>
      </c>
      <c r="E241" s="311"/>
      <c r="F241" s="311"/>
      <c r="G241" s="311"/>
      <c r="H241" s="311"/>
    </row>
    <row r="242" spans="1:8" x14ac:dyDescent="0.35">
      <c r="A242" s="291" t="s">
        <v>21</v>
      </c>
      <c r="B242" s="295" t="s">
        <v>296</v>
      </c>
      <c r="C242" s="126" t="s">
        <v>141</v>
      </c>
      <c r="D242" s="310">
        <f>[17]Лист_1!$AB$406</f>
        <v>-27422.52</v>
      </c>
      <c r="E242" s="311"/>
      <c r="F242" s="311"/>
      <c r="G242" s="311"/>
      <c r="H242" s="311"/>
    </row>
    <row r="243" spans="1:8" x14ac:dyDescent="0.35">
      <c r="A243" s="291" t="s">
        <v>23</v>
      </c>
      <c r="B243" s="295" t="s">
        <v>144</v>
      </c>
      <c r="C243" s="126" t="s">
        <v>7</v>
      </c>
      <c r="D243" s="311" t="s">
        <v>478</v>
      </c>
      <c r="E243" s="311"/>
      <c r="F243" s="311"/>
      <c r="G243" s="311"/>
      <c r="H243" s="311"/>
    </row>
    <row r="244" spans="1:8" hidden="1" x14ac:dyDescent="0.35">
      <c r="A244" s="100"/>
      <c r="B244" s="101"/>
      <c r="C244" s="101"/>
      <c r="D244" s="101"/>
    </row>
    <row r="245" spans="1:8" hidden="1" x14ac:dyDescent="0.35">
      <c r="A245" s="120"/>
      <c r="B245" s="121"/>
      <c r="C245" s="121"/>
      <c r="D245" s="121"/>
    </row>
    <row r="246" spans="1:8" ht="37.5" customHeight="1" x14ac:dyDescent="0.35">
      <c r="A246" s="291" t="s">
        <v>23</v>
      </c>
      <c r="B246" s="292" t="s">
        <v>145</v>
      </c>
      <c r="C246" s="291" t="s">
        <v>7</v>
      </c>
      <c r="D246" s="333" t="s">
        <v>429</v>
      </c>
      <c r="E246" s="333"/>
      <c r="F246" s="333"/>
      <c r="G246" s="333"/>
      <c r="H246" s="333"/>
    </row>
    <row r="248" spans="1:8" x14ac:dyDescent="0.35">
      <c r="A248" s="368" t="s">
        <v>206</v>
      </c>
      <c r="B248" s="368"/>
      <c r="C248" s="368"/>
      <c r="D248" s="368"/>
    </row>
    <row r="250" spans="1:8" x14ac:dyDescent="0.35">
      <c r="A250" s="102" t="s">
        <v>0</v>
      </c>
      <c r="B250" s="330" t="s">
        <v>2</v>
      </c>
      <c r="C250" s="330" t="s">
        <v>3</v>
      </c>
      <c r="D250" s="330" t="s">
        <v>4</v>
      </c>
      <c r="E250" s="274"/>
    </row>
    <row r="251" spans="1:8" x14ac:dyDescent="0.35">
      <c r="A251" s="285" t="s">
        <v>1</v>
      </c>
      <c r="B251" s="330"/>
      <c r="C251" s="330"/>
      <c r="D251" s="330"/>
      <c r="E251" s="274"/>
    </row>
    <row r="252" spans="1:8" x14ac:dyDescent="0.35">
      <c r="A252" s="291">
        <v>1</v>
      </c>
      <c r="B252" s="292" t="s">
        <v>207</v>
      </c>
      <c r="C252" s="291" t="s">
        <v>7</v>
      </c>
      <c r="D252" s="296" t="str">
        <f>D275</f>
        <v>Холл первого этажа</v>
      </c>
      <c r="E252" s="189"/>
    </row>
    <row r="253" spans="1:8" x14ac:dyDescent="0.35">
      <c r="A253" s="291" t="s">
        <v>276</v>
      </c>
      <c r="B253" s="292" t="s">
        <v>210</v>
      </c>
      <c r="C253" s="291" t="s">
        <v>7</v>
      </c>
      <c r="D253" s="296" t="s">
        <v>224</v>
      </c>
      <c r="E253" s="189"/>
    </row>
    <row r="254" spans="1:8" x14ac:dyDescent="0.35">
      <c r="A254" s="291" t="s">
        <v>277</v>
      </c>
      <c r="B254" s="292" t="s">
        <v>213</v>
      </c>
      <c r="C254" s="291" t="s">
        <v>7</v>
      </c>
      <c r="D254" s="296" t="s">
        <v>280</v>
      </c>
      <c r="E254" s="189"/>
    </row>
    <row r="255" spans="1:8" x14ac:dyDescent="0.35">
      <c r="A255" s="193" t="s">
        <v>278</v>
      </c>
      <c r="B255" s="292" t="s">
        <v>216</v>
      </c>
      <c r="C255" s="291" t="s">
        <v>7</v>
      </c>
      <c r="D255" s="194">
        <v>2022</v>
      </c>
      <c r="E255" s="190"/>
    </row>
    <row r="256" spans="1:8" x14ac:dyDescent="0.35">
      <c r="A256" s="291" t="s">
        <v>279</v>
      </c>
      <c r="B256" s="292" t="s">
        <v>274</v>
      </c>
      <c r="C256" s="291" t="s">
        <v>141</v>
      </c>
      <c r="D256" s="275">
        <f>'[14]2025'!$J$91</f>
        <v>7200</v>
      </c>
      <c r="E256" s="189"/>
    </row>
    <row r="257" spans="1:5" ht="6.5" customHeight="1" x14ac:dyDescent="0.35">
      <c r="A257" s="291"/>
      <c r="B257" s="292"/>
      <c r="C257" s="291"/>
      <c r="D257" s="296"/>
      <c r="E257" s="189"/>
    </row>
    <row r="258" spans="1:5" x14ac:dyDescent="0.35">
      <c r="A258" s="291" t="s">
        <v>9</v>
      </c>
      <c r="B258" s="292" t="s">
        <v>207</v>
      </c>
      <c r="C258" s="291" t="s">
        <v>7</v>
      </c>
      <c r="D258" s="296" t="s">
        <v>208</v>
      </c>
      <c r="E258" s="189"/>
    </row>
    <row r="259" spans="1:5" x14ac:dyDescent="0.35">
      <c r="A259" s="291" t="s">
        <v>209</v>
      </c>
      <c r="B259" s="292" t="s">
        <v>210</v>
      </c>
      <c r="C259" s="291" t="s">
        <v>7</v>
      </c>
      <c r="D259" s="296" t="s">
        <v>211</v>
      </c>
      <c r="E259" s="189"/>
    </row>
    <row r="260" spans="1:5" x14ac:dyDescent="0.35">
      <c r="A260" s="291" t="s">
        <v>212</v>
      </c>
      <c r="B260" s="292" t="s">
        <v>213</v>
      </c>
      <c r="C260" s="291" t="s">
        <v>7</v>
      </c>
      <c r="D260" s="296" t="s">
        <v>214</v>
      </c>
      <c r="E260" s="189"/>
    </row>
    <row r="261" spans="1:5" x14ac:dyDescent="0.35">
      <c r="A261" s="193" t="s">
        <v>215</v>
      </c>
      <c r="B261" s="292" t="s">
        <v>216</v>
      </c>
      <c r="C261" s="291" t="s">
        <v>7</v>
      </c>
      <c r="D261" s="194">
        <v>2012</v>
      </c>
      <c r="E261" s="190"/>
    </row>
    <row r="262" spans="1:5" x14ac:dyDescent="0.35">
      <c r="A262" s="291" t="s">
        <v>217</v>
      </c>
      <c r="B262" s="292" t="s">
        <v>274</v>
      </c>
      <c r="C262" s="291" t="s">
        <v>141</v>
      </c>
      <c r="D262" s="296">
        <v>0</v>
      </c>
      <c r="E262" s="189"/>
    </row>
    <row r="263" spans="1:5" x14ac:dyDescent="0.35">
      <c r="A263" s="291" t="s">
        <v>9</v>
      </c>
      <c r="B263" s="292" t="s">
        <v>207</v>
      </c>
      <c r="C263" s="291" t="s">
        <v>7</v>
      </c>
      <c r="D263" s="296" t="s">
        <v>252</v>
      </c>
      <c r="E263" s="189"/>
    </row>
    <row r="264" spans="1:5" x14ac:dyDescent="0.35">
      <c r="A264" s="291" t="s">
        <v>209</v>
      </c>
      <c r="B264" s="292" t="s">
        <v>210</v>
      </c>
      <c r="C264" s="291" t="s">
        <v>7</v>
      </c>
      <c r="D264" s="296" t="s">
        <v>252</v>
      </c>
      <c r="E264" s="189"/>
    </row>
    <row r="265" spans="1:5" ht="26" x14ac:dyDescent="0.35">
      <c r="A265" s="291" t="s">
        <v>212</v>
      </c>
      <c r="B265" s="292" t="s">
        <v>213</v>
      </c>
      <c r="C265" s="291" t="s">
        <v>7</v>
      </c>
      <c r="D265" s="296" t="s">
        <v>483</v>
      </c>
      <c r="E265" s="189"/>
    </row>
    <row r="266" spans="1:5" x14ac:dyDescent="0.35">
      <c r="A266" s="193" t="s">
        <v>215</v>
      </c>
      <c r="B266" s="292" t="s">
        <v>216</v>
      </c>
      <c r="C266" s="291" t="s">
        <v>7</v>
      </c>
      <c r="D266" s="194">
        <v>2012</v>
      </c>
      <c r="E266" s="190"/>
    </row>
    <row r="267" spans="1:5" x14ac:dyDescent="0.35">
      <c r="A267" s="291" t="s">
        <v>217</v>
      </c>
      <c r="B267" s="292" t="s">
        <v>274</v>
      </c>
      <c r="C267" s="291" t="s">
        <v>141</v>
      </c>
      <c r="D267" s="296">
        <v>0</v>
      </c>
      <c r="E267" s="189"/>
    </row>
    <row r="268" spans="1:5" ht="6.5" customHeight="1" x14ac:dyDescent="0.35">
      <c r="A268" s="291"/>
      <c r="B268" s="292"/>
      <c r="C268" s="291"/>
      <c r="D268" s="296"/>
      <c r="E268" s="189"/>
    </row>
    <row r="269" spans="1:5" x14ac:dyDescent="0.35">
      <c r="A269" s="291">
        <v>3</v>
      </c>
      <c r="B269" s="292" t="s">
        <v>207</v>
      </c>
      <c r="C269" s="291"/>
      <c r="D269" s="296" t="s">
        <v>208</v>
      </c>
      <c r="E269" s="189"/>
    </row>
    <row r="270" spans="1:5" x14ac:dyDescent="0.35">
      <c r="A270" s="291" t="s">
        <v>218</v>
      </c>
      <c r="B270" s="292" t="s">
        <v>210</v>
      </c>
      <c r="C270" s="291" t="s">
        <v>7</v>
      </c>
      <c r="D270" s="296" t="s">
        <v>211</v>
      </c>
      <c r="E270" s="189"/>
    </row>
    <row r="271" spans="1:5" ht="43.5" customHeight="1" x14ac:dyDescent="0.35">
      <c r="A271" s="291" t="s">
        <v>219</v>
      </c>
      <c r="B271" s="292" t="s">
        <v>213</v>
      </c>
      <c r="C271" s="291" t="s">
        <v>7</v>
      </c>
      <c r="D271" s="296" t="s">
        <v>220</v>
      </c>
      <c r="E271" s="189"/>
    </row>
    <row r="272" spans="1:5" x14ac:dyDescent="0.35">
      <c r="A272" s="291" t="s">
        <v>221</v>
      </c>
      <c r="B272" s="292" t="s">
        <v>216</v>
      </c>
      <c r="C272" s="291" t="s">
        <v>7</v>
      </c>
      <c r="D272" s="194">
        <v>2018</v>
      </c>
      <c r="E272" s="190"/>
    </row>
    <row r="273" spans="1:5" x14ac:dyDescent="0.35">
      <c r="A273" s="291" t="s">
        <v>222</v>
      </c>
      <c r="B273" s="292" t="s">
        <v>274</v>
      </c>
      <c r="C273" s="291" t="s">
        <v>141</v>
      </c>
      <c r="D273" s="275">
        <f>'[14]2025'!$M$88</f>
        <v>19200</v>
      </c>
      <c r="E273" s="189"/>
    </row>
    <row r="274" spans="1:5" ht="6.5" customHeight="1" x14ac:dyDescent="0.35">
      <c r="A274" s="291"/>
      <c r="B274" s="292"/>
      <c r="C274" s="291"/>
      <c r="D274" s="296"/>
      <c r="E274" s="189"/>
    </row>
    <row r="275" spans="1:5" x14ac:dyDescent="0.35">
      <c r="A275" s="291">
        <v>4</v>
      </c>
      <c r="B275" s="292" t="s">
        <v>207</v>
      </c>
      <c r="C275" s="291"/>
      <c r="D275" s="296" t="s">
        <v>223</v>
      </c>
      <c r="E275" s="189"/>
    </row>
    <row r="276" spans="1:5" x14ac:dyDescent="0.35">
      <c r="A276" s="291" t="s">
        <v>159</v>
      </c>
      <c r="B276" s="292" t="s">
        <v>210</v>
      </c>
      <c r="C276" s="291" t="s">
        <v>7</v>
      </c>
      <c r="D276" s="296" t="s">
        <v>224</v>
      </c>
      <c r="E276" s="189"/>
    </row>
    <row r="277" spans="1:5" ht="15.5" customHeight="1" x14ac:dyDescent="0.35">
      <c r="A277" s="336" t="s">
        <v>160</v>
      </c>
      <c r="B277" s="359" t="s">
        <v>213</v>
      </c>
      <c r="C277" s="336" t="s">
        <v>7</v>
      </c>
      <c r="D277" s="382" t="s">
        <v>275</v>
      </c>
      <c r="E277" s="189"/>
    </row>
    <row r="278" spans="1:5" x14ac:dyDescent="0.35">
      <c r="A278" s="336"/>
      <c r="B278" s="359"/>
      <c r="C278" s="336"/>
      <c r="D278" s="382"/>
      <c r="E278" s="189"/>
    </row>
    <row r="279" spans="1:5" x14ac:dyDescent="0.35">
      <c r="A279" s="291" t="s">
        <v>162</v>
      </c>
      <c r="B279" s="292" t="s">
        <v>216</v>
      </c>
      <c r="C279" s="291" t="s">
        <v>7</v>
      </c>
      <c r="D279" s="194">
        <v>2015</v>
      </c>
      <c r="E279" s="190"/>
    </row>
    <row r="280" spans="1:5" ht="19" customHeight="1" x14ac:dyDescent="0.35">
      <c r="A280" s="291" t="s">
        <v>164</v>
      </c>
      <c r="B280" s="292" t="s">
        <v>274</v>
      </c>
      <c r="C280" s="291" t="s">
        <v>141</v>
      </c>
      <c r="D280" s="296">
        <v>42000</v>
      </c>
      <c r="E280" s="189"/>
    </row>
    <row r="281" spans="1:5" ht="6.5" customHeight="1" x14ac:dyDescent="0.35">
      <c r="A281" s="291"/>
      <c r="B281" s="292"/>
      <c r="C281" s="291"/>
      <c r="D281" s="296"/>
      <c r="E281" s="189"/>
    </row>
    <row r="282" spans="1:5" x14ac:dyDescent="0.35">
      <c r="A282" s="291">
        <v>5</v>
      </c>
      <c r="B282" s="292" t="s">
        <v>207</v>
      </c>
      <c r="C282" s="291"/>
      <c r="D282" s="296" t="s">
        <v>208</v>
      </c>
      <c r="E282" s="189"/>
    </row>
    <row r="283" spans="1:5" x14ac:dyDescent="0.35">
      <c r="A283" s="291" t="s">
        <v>166</v>
      </c>
      <c r="B283" s="292" t="s">
        <v>210</v>
      </c>
      <c r="C283" s="291" t="s">
        <v>7</v>
      </c>
      <c r="D283" s="296" t="s">
        <v>211</v>
      </c>
      <c r="E283" s="189"/>
    </row>
    <row r="284" spans="1:5" x14ac:dyDescent="0.35">
      <c r="A284" s="291" t="s">
        <v>167</v>
      </c>
      <c r="B284" s="292" t="s">
        <v>213</v>
      </c>
      <c r="C284" s="291" t="s">
        <v>7</v>
      </c>
      <c r="D284" s="296" t="s">
        <v>225</v>
      </c>
      <c r="E284" s="189"/>
    </row>
    <row r="285" spans="1:5" x14ac:dyDescent="0.35">
      <c r="A285" s="291" t="s">
        <v>168</v>
      </c>
      <c r="B285" s="292" t="s">
        <v>216</v>
      </c>
      <c r="C285" s="291" t="s">
        <v>7</v>
      </c>
      <c r="D285" s="194">
        <v>2011</v>
      </c>
      <c r="E285" s="190"/>
    </row>
    <row r="286" spans="1:5" x14ac:dyDescent="0.35">
      <c r="A286" s="291" t="s">
        <v>169</v>
      </c>
      <c r="B286" s="292" t="s">
        <v>274</v>
      </c>
      <c r="C286" s="291" t="s">
        <v>141</v>
      </c>
      <c r="D286" s="275">
        <f>'[14]2025'!$L$88</f>
        <v>24000</v>
      </c>
      <c r="E286" s="189"/>
    </row>
    <row r="288" spans="1:5" x14ac:dyDescent="0.35">
      <c r="A288" s="368" t="s">
        <v>226</v>
      </c>
      <c r="B288" s="368"/>
      <c r="C288" s="368"/>
      <c r="D288" s="368"/>
    </row>
    <row r="290" spans="1:12" x14ac:dyDescent="0.35">
      <c r="A290" s="102" t="s">
        <v>0</v>
      </c>
      <c r="B290" s="330" t="s">
        <v>2</v>
      </c>
      <c r="C290" s="330" t="s">
        <v>3</v>
      </c>
      <c r="D290" s="330" t="s">
        <v>4</v>
      </c>
      <c r="E290" s="274"/>
    </row>
    <row r="291" spans="1:12" x14ac:dyDescent="0.35">
      <c r="A291" s="285" t="s">
        <v>1</v>
      </c>
      <c r="B291" s="330"/>
      <c r="C291" s="330"/>
      <c r="D291" s="330"/>
      <c r="E291" s="274"/>
    </row>
    <row r="292" spans="1:12" x14ac:dyDescent="0.35">
      <c r="A292" s="369" t="s">
        <v>299</v>
      </c>
      <c r="B292" s="369"/>
      <c r="C292" s="369"/>
      <c r="D292" s="369"/>
      <c r="E292" s="196"/>
    </row>
    <row r="293" spans="1:12" x14ac:dyDescent="0.35">
      <c r="A293" s="291">
        <v>1</v>
      </c>
      <c r="B293" s="292" t="s">
        <v>227</v>
      </c>
      <c r="C293" s="291" t="s">
        <v>7</v>
      </c>
      <c r="D293" s="296" t="s">
        <v>281</v>
      </c>
      <c r="E293" s="189"/>
    </row>
    <row r="294" spans="1:12" ht="25" x14ac:dyDescent="0.35">
      <c r="A294" s="291">
        <v>2</v>
      </c>
      <c r="B294" s="292" t="s">
        <v>333</v>
      </c>
      <c r="C294" s="291" t="s">
        <v>141</v>
      </c>
      <c r="D294" s="296">
        <v>14.44</v>
      </c>
      <c r="E294" s="189"/>
    </row>
    <row r="295" spans="1:12" x14ac:dyDescent="0.35">
      <c r="A295" s="291">
        <v>3</v>
      </c>
      <c r="B295" s="292" t="s">
        <v>340</v>
      </c>
      <c r="C295" s="291" t="s">
        <v>141</v>
      </c>
      <c r="D295" s="251">
        <v>13712875.59</v>
      </c>
      <c r="E295" s="189"/>
      <c r="L295" s="57" t="s">
        <v>321</v>
      </c>
    </row>
    <row r="296" spans="1:12" x14ac:dyDescent="0.35">
      <c r="A296" s="291">
        <v>4</v>
      </c>
      <c r="B296" s="292" t="str">
        <f>'[8]К. Беляева 40Б'!$A$20</f>
        <v>Задолженность потребителей (на начало периода)</v>
      </c>
      <c r="C296" s="291" t="s">
        <v>141</v>
      </c>
      <c r="D296" s="251">
        <v>1515830.9</v>
      </c>
      <c r="E296" s="189"/>
      <c r="L296" s="57" t="s">
        <v>321</v>
      </c>
    </row>
    <row r="297" spans="1:12" x14ac:dyDescent="0.35">
      <c r="A297" s="291">
        <v>5</v>
      </c>
      <c r="B297" s="292" t="str">
        <f>'[8]К. Беляева 40Б'!$A$21</f>
        <v>Задолженность потребителей (на конец периода)</v>
      </c>
      <c r="C297" s="291" t="s">
        <v>141</v>
      </c>
      <c r="D297" s="251">
        <v>1463473.3</v>
      </c>
      <c r="E297" s="189"/>
      <c r="L297" s="57" t="s">
        <v>321</v>
      </c>
    </row>
    <row r="298" spans="1:12" x14ac:dyDescent="0.35">
      <c r="A298" s="291">
        <v>6</v>
      </c>
      <c r="B298" s="292" t="str">
        <f>'[8]К. Беляева 40Б'!$A$22</f>
        <v>Начислено</v>
      </c>
      <c r="C298" s="291" t="s">
        <v>141</v>
      </c>
      <c r="D298" s="251">
        <f>[18]Лист_1!$J$458</f>
        <v>2389414.4300000002</v>
      </c>
      <c r="E298" s="189"/>
      <c r="L298" s="57" t="s">
        <v>321</v>
      </c>
    </row>
    <row r="299" spans="1:12" x14ac:dyDescent="0.35">
      <c r="A299" s="291">
        <v>7</v>
      </c>
      <c r="B299" s="292" t="str">
        <f>'[8]К. Беляева 40Б'!$A$23</f>
        <v>Оплачено</v>
      </c>
      <c r="C299" s="291" t="s">
        <v>141</v>
      </c>
      <c r="D299" s="251">
        <f>[18]Лист_1!$O$458</f>
        <v>2441772.0299999998</v>
      </c>
      <c r="E299" s="189"/>
    </row>
    <row r="300" spans="1:12" x14ac:dyDescent="0.35">
      <c r="A300" s="291">
        <v>8</v>
      </c>
      <c r="B300" s="292" t="s">
        <v>341</v>
      </c>
      <c r="C300" s="291" t="s">
        <v>141</v>
      </c>
      <c r="D300" s="251">
        <v>7688801.0599999996</v>
      </c>
      <c r="E300" s="189"/>
    </row>
    <row r="301" spans="1:12" x14ac:dyDescent="0.35">
      <c r="A301" s="291">
        <v>9</v>
      </c>
      <c r="B301" s="292" t="s">
        <v>342</v>
      </c>
      <c r="C301" s="291" t="s">
        <v>141</v>
      </c>
      <c r="D301" s="251">
        <f>'[19]Остатки на счете'!$D$7</f>
        <v>9140676.5199999996</v>
      </c>
      <c r="E301" s="189"/>
    </row>
    <row r="302" spans="1:12" ht="17" customHeight="1" x14ac:dyDescent="0.35"/>
    <row r="303" spans="1:12" hidden="1" x14ac:dyDescent="0.35">
      <c r="A303" s="368" t="s">
        <v>228</v>
      </c>
      <c r="B303" s="368"/>
      <c r="C303" s="368"/>
      <c r="D303" s="368"/>
    </row>
    <row r="304" spans="1:12" hidden="1" x14ac:dyDescent="0.35">
      <c r="A304" s="138"/>
    </row>
    <row r="305" spans="1:5" hidden="1" x14ac:dyDescent="0.35">
      <c r="A305" s="132" t="s">
        <v>0</v>
      </c>
      <c r="B305" s="360" t="s">
        <v>2</v>
      </c>
      <c r="C305" s="360" t="s">
        <v>3</v>
      </c>
      <c r="D305" s="360" t="s">
        <v>4</v>
      </c>
      <c r="E305" s="274"/>
    </row>
    <row r="306" spans="1:5" ht="16" hidden="1" thickBot="1" x14ac:dyDescent="0.4">
      <c r="A306" s="133" t="s">
        <v>1</v>
      </c>
      <c r="B306" s="361"/>
      <c r="C306" s="361"/>
      <c r="D306" s="361"/>
      <c r="E306" s="274"/>
    </row>
    <row r="307" spans="1:5" ht="16" hidden="1" x14ac:dyDescent="0.35">
      <c r="A307" s="86" t="s">
        <v>5</v>
      </c>
      <c r="B307" s="139" t="s">
        <v>6</v>
      </c>
      <c r="C307" s="86" t="s">
        <v>7</v>
      </c>
      <c r="D307" s="276">
        <v>43851</v>
      </c>
      <c r="E307" s="277"/>
    </row>
    <row r="308" spans="1:5" ht="31" hidden="1" x14ac:dyDescent="0.35">
      <c r="A308" s="86" t="s">
        <v>5</v>
      </c>
      <c r="B308" s="87" t="s">
        <v>229</v>
      </c>
      <c r="C308" s="86" t="s">
        <v>7</v>
      </c>
      <c r="D308" s="140" t="s">
        <v>230</v>
      </c>
      <c r="E308" s="63"/>
    </row>
    <row r="309" spans="1:5" ht="31.5" hidden="1" thickBot="1" x14ac:dyDescent="0.4">
      <c r="A309" s="89" t="s">
        <v>9</v>
      </c>
      <c r="B309" s="90" t="s">
        <v>229</v>
      </c>
      <c r="C309" s="89" t="s">
        <v>7</v>
      </c>
      <c r="D309" s="141" t="s">
        <v>231</v>
      </c>
      <c r="E309" s="63"/>
    </row>
    <row r="310" spans="1:5" ht="31.5" hidden="1" thickBot="1" x14ac:dyDescent="0.4">
      <c r="A310" s="134" t="s">
        <v>12</v>
      </c>
      <c r="B310" s="135" t="s">
        <v>229</v>
      </c>
      <c r="C310" s="134" t="s">
        <v>7</v>
      </c>
      <c r="D310" s="142" t="s">
        <v>232</v>
      </c>
      <c r="E310" s="63"/>
    </row>
    <row r="311" spans="1:5" ht="31.5" hidden="1" thickBot="1" x14ac:dyDescent="0.4">
      <c r="A311" s="134" t="s">
        <v>15</v>
      </c>
      <c r="B311" s="135" t="s">
        <v>229</v>
      </c>
      <c r="C311" s="134" t="s">
        <v>7</v>
      </c>
      <c r="D311" s="142" t="s">
        <v>233</v>
      </c>
      <c r="E311" s="63"/>
    </row>
    <row r="312" spans="1:5" ht="31.5" hidden="1" thickBot="1" x14ac:dyDescent="0.4">
      <c r="A312" s="134" t="s">
        <v>18</v>
      </c>
      <c r="B312" s="143" t="s">
        <v>229</v>
      </c>
      <c r="C312" s="134" t="s">
        <v>7</v>
      </c>
      <c r="D312" s="142" t="s">
        <v>234</v>
      </c>
      <c r="E312" s="63"/>
    </row>
    <row r="313" spans="1:5" ht="31.5" hidden="1" thickBot="1" x14ac:dyDescent="0.4">
      <c r="A313" s="134" t="s">
        <v>21</v>
      </c>
      <c r="B313" s="143" t="s">
        <v>229</v>
      </c>
      <c r="C313" s="134" t="s">
        <v>7</v>
      </c>
      <c r="D313" s="142" t="s">
        <v>235</v>
      </c>
      <c r="E313" s="63"/>
    </row>
    <row r="314" spans="1:5" ht="31.5" hidden="1" thickBot="1" x14ac:dyDescent="0.4">
      <c r="A314" s="134" t="s">
        <v>23</v>
      </c>
      <c r="B314" s="143" t="s">
        <v>229</v>
      </c>
      <c r="C314" s="134" t="s">
        <v>7</v>
      </c>
      <c r="D314" s="142" t="s">
        <v>236</v>
      </c>
      <c r="E314" s="63"/>
    </row>
    <row r="315" spans="1:5" ht="31.5" hidden="1" thickBot="1" x14ac:dyDescent="0.4">
      <c r="A315" s="134" t="s">
        <v>26</v>
      </c>
      <c r="B315" s="143" t="s">
        <v>229</v>
      </c>
      <c r="C315" s="134" t="s">
        <v>7</v>
      </c>
      <c r="D315" s="142" t="s">
        <v>237</v>
      </c>
      <c r="E315" s="63"/>
    </row>
    <row r="316" spans="1:5" ht="16" hidden="1" thickBot="1" x14ac:dyDescent="0.4">
      <c r="A316" s="134"/>
      <c r="B316" s="135"/>
      <c r="C316" s="134"/>
      <c r="D316" s="142"/>
      <c r="E316" s="63"/>
    </row>
    <row r="318" spans="1:5" ht="16" x14ac:dyDescent="0.4">
      <c r="A318" s="384" t="s">
        <v>238</v>
      </c>
      <c r="B318" s="384"/>
      <c r="C318" s="384"/>
      <c r="D318" s="384"/>
    </row>
    <row r="319" spans="1:5" x14ac:dyDescent="0.35">
      <c r="A319" s="287" t="s">
        <v>0</v>
      </c>
      <c r="B319" s="316" t="s">
        <v>2</v>
      </c>
      <c r="C319" s="316" t="s">
        <v>3</v>
      </c>
      <c r="D319" s="316" t="s">
        <v>4</v>
      </c>
    </row>
    <row r="320" spans="1:5" x14ac:dyDescent="0.35">
      <c r="A320" s="287" t="s">
        <v>1</v>
      </c>
      <c r="B320" s="316"/>
      <c r="C320" s="316"/>
      <c r="D320" s="316"/>
    </row>
    <row r="321" spans="1:22" ht="16" x14ac:dyDescent="0.35">
      <c r="A321" s="289" t="s">
        <v>5</v>
      </c>
      <c r="B321" s="290" t="s">
        <v>6</v>
      </c>
      <c r="C321" s="289" t="s">
        <v>7</v>
      </c>
      <c r="D321" s="119">
        <v>46073</v>
      </c>
    </row>
    <row r="322" spans="1:22" ht="16" x14ac:dyDescent="0.35">
      <c r="A322" s="289" t="s">
        <v>9</v>
      </c>
      <c r="B322" s="290" t="s">
        <v>239</v>
      </c>
      <c r="C322" s="289" t="s">
        <v>7</v>
      </c>
      <c r="D322" s="119">
        <v>45658</v>
      </c>
    </row>
    <row r="323" spans="1:22" ht="16" x14ac:dyDescent="0.35">
      <c r="A323" s="289" t="s">
        <v>12</v>
      </c>
      <c r="B323" s="290" t="s">
        <v>240</v>
      </c>
      <c r="C323" s="289" t="s">
        <v>7</v>
      </c>
      <c r="D323" s="119">
        <v>46022</v>
      </c>
    </row>
    <row r="324" spans="1:22" ht="30" customHeight="1" x14ac:dyDescent="0.35">
      <c r="A324" s="326" t="s">
        <v>241</v>
      </c>
      <c r="B324" s="326"/>
      <c r="C324" s="326"/>
      <c r="D324" s="326"/>
      <c r="Q324" s="57" t="s">
        <v>321</v>
      </c>
    </row>
    <row r="325" spans="1:22" ht="31" x14ac:dyDescent="0.35">
      <c r="A325" s="289" t="s">
        <v>15</v>
      </c>
      <c r="B325" s="290" t="s">
        <v>451</v>
      </c>
      <c r="C325" s="289" t="s">
        <v>141</v>
      </c>
      <c r="D325" s="173">
        <f>'[4]К. Беляева 40Г'!$D$27</f>
        <v>306986.5</v>
      </c>
    </row>
    <row r="326" spans="1:22" ht="16" x14ac:dyDescent="0.35">
      <c r="A326" s="289" t="s">
        <v>18</v>
      </c>
      <c r="B326" s="290" t="s">
        <v>243</v>
      </c>
      <c r="C326" s="289" t="s">
        <v>141</v>
      </c>
      <c r="D326" s="174">
        <v>0</v>
      </c>
    </row>
    <row r="327" spans="1:22" ht="16" x14ac:dyDescent="0.35">
      <c r="A327" s="289" t="s">
        <v>21</v>
      </c>
      <c r="B327" s="288" t="s">
        <v>244</v>
      </c>
      <c r="C327" s="287" t="s">
        <v>141</v>
      </c>
      <c r="D327" s="173">
        <f>[17]Лист_1!$BJ$404</f>
        <v>1445053.15</v>
      </c>
    </row>
    <row r="328" spans="1:22" x14ac:dyDescent="0.35">
      <c r="A328" s="317" t="s">
        <v>23</v>
      </c>
      <c r="B328" s="326" t="s">
        <v>245</v>
      </c>
      <c r="C328" s="316" t="s">
        <v>141</v>
      </c>
      <c r="D328" s="373">
        <f>[17]Лист_1!$V$406</f>
        <v>3920390.19</v>
      </c>
    </row>
    <row r="329" spans="1:22" x14ac:dyDescent="0.35">
      <c r="A329" s="317"/>
      <c r="B329" s="326"/>
      <c r="C329" s="316"/>
      <c r="D329" s="374"/>
    </row>
    <row r="330" spans="1:22" x14ac:dyDescent="0.35">
      <c r="A330" s="289" t="s">
        <v>26</v>
      </c>
      <c r="B330" s="145" t="s">
        <v>282</v>
      </c>
      <c r="C330" s="144" t="s">
        <v>141</v>
      </c>
      <c r="D330" s="68">
        <f>[17]Лист_1!$V$408</f>
        <v>3234513.7066614483</v>
      </c>
    </row>
    <row r="331" spans="1:22" x14ac:dyDescent="0.35">
      <c r="A331" s="289" t="s">
        <v>29</v>
      </c>
      <c r="B331" s="145" t="s">
        <v>283</v>
      </c>
      <c r="C331" s="144" t="s">
        <v>141</v>
      </c>
      <c r="D331" s="68">
        <f>[17]Лист_1!$V$409</f>
        <v>685876.48333855171</v>
      </c>
      <c r="M331" s="58">
        <f>D337+D338+D340+D342+D347+D348+D349+D350+D351</f>
        <v>11764996.140000001</v>
      </c>
    </row>
    <row r="332" spans="1:22" x14ac:dyDescent="0.35">
      <c r="A332" s="316" t="s">
        <v>31</v>
      </c>
      <c r="B332" s="326" t="s">
        <v>246</v>
      </c>
      <c r="C332" s="316" t="s">
        <v>141</v>
      </c>
      <c r="D332" s="372">
        <f>[17]Лист_1!$AX$418</f>
        <v>11764996.140000001</v>
      </c>
    </row>
    <row r="333" spans="1:22" ht="7.5" customHeight="1" x14ac:dyDescent="0.35">
      <c r="A333" s="316"/>
      <c r="B333" s="326"/>
      <c r="C333" s="316"/>
      <c r="D333" s="372"/>
    </row>
    <row r="334" spans="1:22" hidden="1" x14ac:dyDescent="0.35">
      <c r="A334" s="316"/>
      <c r="B334" s="326"/>
      <c r="C334" s="316"/>
      <c r="D334" s="372"/>
      <c r="M334" s="58">
        <f>M331-D332</f>
        <v>0</v>
      </c>
      <c r="R334" s="58" t="e">
        <f>D335-#REF!-#REF!-#REF!</f>
        <v>#REF!</v>
      </c>
    </row>
    <row r="335" spans="1:22" x14ac:dyDescent="0.35">
      <c r="A335" s="317" t="s">
        <v>34</v>
      </c>
      <c r="B335" s="315" t="s">
        <v>247</v>
      </c>
      <c r="C335" s="317" t="s">
        <v>141</v>
      </c>
      <c r="D335" s="372">
        <f>D332</f>
        <v>11764996.140000001</v>
      </c>
    </row>
    <row r="336" spans="1:22" ht="2.5" customHeight="1" x14ac:dyDescent="0.35">
      <c r="A336" s="317"/>
      <c r="B336" s="315"/>
      <c r="C336" s="317"/>
      <c r="D336" s="372"/>
      <c r="V336" s="58" t="e">
        <f>D337+D338+D339+#REF!</f>
        <v>#REF!</v>
      </c>
    </row>
    <row r="337" spans="1:59" x14ac:dyDescent="0.35">
      <c r="A337" s="289" t="s">
        <v>36</v>
      </c>
      <c r="B337" s="290" t="s">
        <v>330</v>
      </c>
      <c r="C337" s="289" t="s">
        <v>141</v>
      </c>
      <c r="D337" s="85">
        <f>[17]Лист_1!$AX$412</f>
        <v>562992.27999999991</v>
      </c>
    </row>
    <row r="338" spans="1:59" x14ac:dyDescent="0.35">
      <c r="A338" s="289" t="s">
        <v>38</v>
      </c>
      <c r="B338" s="290" t="s">
        <v>289</v>
      </c>
      <c r="C338" s="289" t="s">
        <v>141</v>
      </c>
      <c r="D338" s="286">
        <f>[17]Лист_1!$AX$414</f>
        <v>4335080.28</v>
      </c>
      <c r="BF338" s="58"/>
      <c r="BG338" s="58"/>
    </row>
    <row r="339" spans="1:59" x14ac:dyDescent="0.35">
      <c r="A339" s="175" t="s">
        <v>40</v>
      </c>
      <c r="B339" s="290" t="s">
        <v>248</v>
      </c>
      <c r="C339" s="289" t="s">
        <v>141</v>
      </c>
      <c r="D339" s="286">
        <v>0</v>
      </c>
      <c r="M339" s="199">
        <f>D256+D262+D267+D273+D280+D286</f>
        <v>92400</v>
      </c>
      <c r="N339" s="198">
        <f>H129</f>
        <v>681866.31599999988</v>
      </c>
    </row>
    <row r="340" spans="1:59" x14ac:dyDescent="0.35">
      <c r="A340" s="175" t="s">
        <v>42</v>
      </c>
      <c r="B340" s="290" t="s">
        <v>457</v>
      </c>
      <c r="C340" s="289" t="str">
        <f>C339</f>
        <v>руб.</v>
      </c>
      <c r="D340" s="68">
        <f>'[14]2025'!$I$97</f>
        <v>113200</v>
      </c>
    </row>
    <row r="341" spans="1:59" x14ac:dyDescent="0.35">
      <c r="A341" s="175" t="s">
        <v>44</v>
      </c>
      <c r="B341" s="306" t="s">
        <v>435</v>
      </c>
      <c r="C341" s="307"/>
      <c r="D341" s="308"/>
      <c r="M341" s="58">
        <f>D343+D344+D345+D346</f>
        <v>3970609.7623328269</v>
      </c>
      <c r="N341" s="58">
        <f>[13]Лист_1!$U$402</f>
        <v>3877306.08</v>
      </c>
      <c r="P341" s="57" t="s">
        <v>480</v>
      </c>
      <c r="S341" s="57" t="s">
        <v>295</v>
      </c>
    </row>
    <row r="342" spans="1:59" x14ac:dyDescent="0.35">
      <c r="A342" s="175" t="s">
        <v>458</v>
      </c>
      <c r="B342" s="146" t="s">
        <v>475</v>
      </c>
      <c r="C342" s="289" t="str">
        <f>C339</f>
        <v>руб.</v>
      </c>
      <c r="D342" s="286">
        <f>[17]Лист_1!$AX$406</f>
        <v>3970609.76</v>
      </c>
      <c r="M342" s="58">
        <f>D342-M341</f>
        <v>-2.3328270763158798E-3</v>
      </c>
      <c r="N342" s="58">
        <f>D342-N341</f>
        <v>93303.679999999702</v>
      </c>
    </row>
    <row r="343" spans="1:59" ht="31" x14ac:dyDescent="0.35">
      <c r="A343" s="175" t="s">
        <v>464</v>
      </c>
      <c r="B343" s="146" t="s">
        <v>462</v>
      </c>
      <c r="C343" s="289" t="str">
        <f>C342</f>
        <v>руб.</v>
      </c>
      <c r="D343" s="286">
        <f>L125+60266.07</f>
        <v>2345357.2140000002</v>
      </c>
    </row>
    <row r="344" spans="1:59" ht="31" x14ac:dyDescent="0.35">
      <c r="A344" s="175" t="s">
        <v>465</v>
      </c>
      <c r="B344" s="146" t="s">
        <v>456</v>
      </c>
      <c r="C344" s="289" t="str">
        <f>C343</f>
        <v>руб.</v>
      </c>
      <c r="D344" s="286">
        <f>H101</f>
        <v>80926.701170400003</v>
      </c>
    </row>
    <row r="345" spans="1:59" ht="46.5" x14ac:dyDescent="0.35">
      <c r="A345" s="175" t="s">
        <v>466</v>
      </c>
      <c r="B345" s="146" t="s">
        <v>463</v>
      </c>
      <c r="C345" s="289" t="str">
        <f>C344</f>
        <v>руб.</v>
      </c>
      <c r="D345" s="286">
        <f>H128</f>
        <v>849663.39599999995</v>
      </c>
      <c r="BF345" s="58"/>
    </row>
    <row r="346" spans="1:59" x14ac:dyDescent="0.35">
      <c r="A346" s="175" t="s">
        <v>467</v>
      </c>
      <c r="B346" s="146" t="s">
        <v>460</v>
      </c>
      <c r="C346" s="289" t="str">
        <f>C345</f>
        <v>руб.</v>
      </c>
      <c r="D346" s="286">
        <f>[17]Лист_1!$AX$409</f>
        <v>694662.4511624265</v>
      </c>
      <c r="BF346" s="58"/>
      <c r="BG346" s="58"/>
    </row>
    <row r="347" spans="1:59" x14ac:dyDescent="0.35">
      <c r="A347" s="175" t="s">
        <v>468</v>
      </c>
      <c r="B347" s="146" t="s">
        <v>432</v>
      </c>
      <c r="C347" s="289" t="s">
        <v>141</v>
      </c>
      <c r="D347" s="85">
        <f>[17]Лист_1!$AQ$406+3023.95</f>
        <v>1907526.73</v>
      </c>
    </row>
    <row r="348" spans="1:59" x14ac:dyDescent="0.35">
      <c r="A348" s="175" t="s">
        <v>469</v>
      </c>
      <c r="B348" s="146" t="s">
        <v>433</v>
      </c>
      <c r="C348" s="289" t="s">
        <v>141</v>
      </c>
      <c r="D348" s="286">
        <f>[17]Лист_1!$AR$406</f>
        <v>133428.89000000001</v>
      </c>
    </row>
    <row r="349" spans="1:59" x14ac:dyDescent="0.35">
      <c r="A349" s="175" t="s">
        <v>470</v>
      </c>
      <c r="B349" s="146" t="s">
        <v>447</v>
      </c>
      <c r="C349" s="289" t="s">
        <v>141</v>
      </c>
      <c r="D349" s="286">
        <f>[17]Лист_1!$AU$406</f>
        <v>17562.37</v>
      </c>
    </row>
    <row r="350" spans="1:59" x14ac:dyDescent="0.35">
      <c r="A350" s="175" t="s">
        <v>471</v>
      </c>
      <c r="B350" s="146" t="s">
        <v>474</v>
      </c>
      <c r="C350" s="289" t="s">
        <v>141</v>
      </c>
      <c r="D350" s="286">
        <f>[17]Лист_1!$AW$406</f>
        <v>706414.13</v>
      </c>
    </row>
    <row r="351" spans="1:59" x14ac:dyDescent="0.35">
      <c r="A351" s="175" t="s">
        <v>472</v>
      </c>
      <c r="B351" s="146" t="s">
        <v>434</v>
      </c>
      <c r="C351" s="289" t="s">
        <v>141</v>
      </c>
      <c r="D351" s="286">
        <f>[17]Лист_1!$AZ$406</f>
        <v>18181.7</v>
      </c>
    </row>
    <row r="352" spans="1:59" ht="29" customHeight="1" x14ac:dyDescent="0.35">
      <c r="A352" s="175" t="s">
        <v>473</v>
      </c>
      <c r="B352" s="290" t="s">
        <v>479</v>
      </c>
      <c r="C352" s="289" t="s">
        <v>141</v>
      </c>
      <c r="D352" s="286">
        <f>[17]Лист_1!$BE$406</f>
        <v>-501540.62</v>
      </c>
    </row>
    <row r="353" spans="1:28" x14ac:dyDescent="0.35">
      <c r="A353" s="289" t="s">
        <v>46</v>
      </c>
      <c r="B353" s="290" t="s">
        <v>461</v>
      </c>
      <c r="C353" s="289" t="s">
        <v>141</v>
      </c>
      <c r="D353" s="286">
        <f>[17]Лист_1!$BJ$404</f>
        <v>1445053.15</v>
      </c>
      <c r="Q353" s="57" t="s">
        <v>331</v>
      </c>
    </row>
    <row r="354" spans="1:28" ht="31" x14ac:dyDescent="0.35">
      <c r="A354" s="289" t="s">
        <v>49</v>
      </c>
      <c r="B354" s="290" t="s">
        <v>301</v>
      </c>
      <c r="C354" s="289" t="s">
        <v>141</v>
      </c>
      <c r="D354" s="68">
        <f>'[4]К. Беляева 40Г'!$D$92</f>
        <v>141904.86216242681</v>
      </c>
    </row>
    <row r="355" spans="1:28" x14ac:dyDescent="0.35">
      <c r="A355" s="289" t="s">
        <v>51</v>
      </c>
      <c r="B355" s="290" t="s">
        <v>243</v>
      </c>
      <c r="C355" s="289" t="s">
        <v>141</v>
      </c>
      <c r="D355" s="56">
        <v>0</v>
      </c>
    </row>
    <row r="356" spans="1:28" ht="16" hidden="1" x14ac:dyDescent="0.35">
      <c r="A356" s="147" t="s">
        <v>51</v>
      </c>
      <c r="B356" s="148" t="s">
        <v>251</v>
      </c>
      <c r="C356" s="149" t="s">
        <v>141</v>
      </c>
      <c r="D356" s="150">
        <v>7791.29</v>
      </c>
    </row>
    <row r="357" spans="1:28" hidden="1" x14ac:dyDescent="0.35"/>
    <row r="358" spans="1:28" hidden="1" x14ac:dyDescent="0.35"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  <c r="AA358" s="64"/>
      <c r="AB358" s="64"/>
    </row>
    <row r="359" spans="1:28" s="64" customFormat="1" ht="25.5" customHeight="1" x14ac:dyDescent="0.35">
      <c r="A359" s="331" t="s">
        <v>253</v>
      </c>
      <c r="B359" s="331"/>
      <c r="C359" s="331"/>
      <c r="D359" s="331"/>
    </row>
    <row r="360" spans="1:28" s="64" customFormat="1" hidden="1" x14ac:dyDescent="0.35">
      <c r="A360" s="151"/>
      <c r="B360" s="151"/>
      <c r="C360" s="151"/>
      <c r="D360" s="151"/>
      <c r="R360" s="64" t="s">
        <v>322</v>
      </c>
    </row>
    <row r="361" spans="1:28" s="64" customFormat="1" x14ac:dyDescent="0.35">
      <c r="A361" s="289">
        <v>1</v>
      </c>
      <c r="B361" s="290" t="s">
        <v>254</v>
      </c>
      <c r="C361" s="289" t="s">
        <v>33</v>
      </c>
      <c r="D361" s="91">
        <v>12</v>
      </c>
    </row>
    <row r="362" spans="1:28" s="64" customFormat="1" x14ac:dyDescent="0.35">
      <c r="A362" s="289"/>
      <c r="B362" s="290" t="s">
        <v>442</v>
      </c>
      <c r="C362" s="289"/>
      <c r="D362" s="85">
        <v>30210</v>
      </c>
    </row>
    <row r="363" spans="1:28" s="64" customFormat="1" x14ac:dyDescent="0.35">
      <c r="A363" s="289">
        <v>2</v>
      </c>
      <c r="B363" s="290" t="s">
        <v>255</v>
      </c>
      <c r="C363" s="289" t="s">
        <v>33</v>
      </c>
      <c r="D363" s="91">
        <v>0</v>
      </c>
    </row>
    <row r="364" spans="1:28" s="64" customFormat="1" ht="31" x14ac:dyDescent="0.35">
      <c r="A364" s="289">
        <v>3</v>
      </c>
      <c r="B364" s="290" t="s">
        <v>256</v>
      </c>
      <c r="C364" s="289" t="s">
        <v>141</v>
      </c>
      <c r="D364" s="91">
        <v>0</v>
      </c>
    </row>
  </sheetData>
  <mergeCells count="200">
    <mergeCell ref="A1:D1"/>
    <mergeCell ref="A10:D10"/>
    <mergeCell ref="A12:D12"/>
    <mergeCell ref="A33:D33"/>
    <mergeCell ref="A38:D38"/>
    <mergeCell ref="B39:B40"/>
    <mergeCell ref="C39:C40"/>
    <mergeCell ref="D39:D40"/>
    <mergeCell ref="A81:D81"/>
    <mergeCell ref="D142:H142"/>
    <mergeCell ref="D143:H143"/>
    <mergeCell ref="D144:H144"/>
    <mergeCell ref="B145:B146"/>
    <mergeCell ref="C145:C146"/>
    <mergeCell ref="A88:D88"/>
    <mergeCell ref="A90:D90"/>
    <mergeCell ref="A92:D92"/>
    <mergeCell ref="A2:D2"/>
    <mergeCell ref="A3:D3"/>
    <mergeCell ref="B4:B5"/>
    <mergeCell ref="C4:C5"/>
    <mergeCell ref="D4:D5"/>
    <mergeCell ref="A7:D7"/>
    <mergeCell ref="A57:D57"/>
    <mergeCell ref="A67:D67"/>
    <mergeCell ref="A74:D74"/>
    <mergeCell ref="A42:D42"/>
    <mergeCell ref="A44:D44"/>
    <mergeCell ref="A47:D47"/>
    <mergeCell ref="A49:D49"/>
    <mergeCell ref="A52:D52"/>
    <mergeCell ref="A54:D54"/>
    <mergeCell ref="A98:H98"/>
    <mergeCell ref="D135:H135"/>
    <mergeCell ref="D136:H136"/>
    <mergeCell ref="D137:H137"/>
    <mergeCell ref="D138:H138"/>
    <mergeCell ref="B139:B140"/>
    <mergeCell ref="C139:C140"/>
    <mergeCell ref="D139:H139"/>
    <mergeCell ref="D140:H140"/>
    <mergeCell ref="D141:H141"/>
    <mergeCell ref="A94:D94"/>
    <mergeCell ref="A96:D96"/>
    <mergeCell ref="B99:B100"/>
    <mergeCell ref="C99:C100"/>
    <mergeCell ref="B131:B132"/>
    <mergeCell ref="C131:C132"/>
    <mergeCell ref="D131:H132"/>
    <mergeCell ref="D133:H133"/>
    <mergeCell ref="D134:H134"/>
    <mergeCell ref="D145:H145"/>
    <mergeCell ref="D146:H146"/>
    <mergeCell ref="D147:H147"/>
    <mergeCell ref="D148:H148"/>
    <mergeCell ref="D149:H149"/>
    <mergeCell ref="D150:H150"/>
    <mergeCell ref="B151:B152"/>
    <mergeCell ref="C151:C152"/>
    <mergeCell ref="D151:H151"/>
    <mergeCell ref="D152:H152"/>
    <mergeCell ref="D153:H153"/>
    <mergeCell ref="D154:H154"/>
    <mergeCell ref="D155:H155"/>
    <mergeCell ref="D156:H156"/>
    <mergeCell ref="B157:B158"/>
    <mergeCell ref="C157:C158"/>
    <mergeCell ref="D157:H157"/>
    <mergeCell ref="D158:H158"/>
    <mergeCell ref="A164:H164"/>
    <mergeCell ref="D159:H159"/>
    <mergeCell ref="D160:H160"/>
    <mergeCell ref="D161:H161"/>
    <mergeCell ref="D162:H162"/>
    <mergeCell ref="D163:H163"/>
    <mergeCell ref="D190:H190"/>
    <mergeCell ref="D191:H191"/>
    <mergeCell ref="D165:H165"/>
    <mergeCell ref="D166:H166"/>
    <mergeCell ref="D167:H167"/>
    <mergeCell ref="D168:H168"/>
    <mergeCell ref="D169:H169"/>
    <mergeCell ref="D170:H170"/>
    <mergeCell ref="D171:H171"/>
    <mergeCell ref="D172:H172"/>
    <mergeCell ref="D173:H173"/>
    <mergeCell ref="A188:A189"/>
    <mergeCell ref="B188:B189"/>
    <mergeCell ref="C188:C189"/>
    <mergeCell ref="D188:H188"/>
    <mergeCell ref="D189:H189"/>
    <mergeCell ref="D174:H174"/>
    <mergeCell ref="D175:H175"/>
    <mergeCell ref="D176:H176"/>
    <mergeCell ref="D177:H177"/>
    <mergeCell ref="D178:H178"/>
    <mergeCell ref="D179:H179"/>
    <mergeCell ref="D180:H180"/>
    <mergeCell ref="B181:B182"/>
    <mergeCell ref="C181:C182"/>
    <mergeCell ref="D181:H181"/>
    <mergeCell ref="D182:H182"/>
    <mergeCell ref="D183:H183"/>
    <mergeCell ref="D184:H184"/>
    <mergeCell ref="D185:H185"/>
    <mergeCell ref="D186:H186"/>
    <mergeCell ref="D187:H187"/>
    <mergeCell ref="D192:H192"/>
    <mergeCell ref="D193:H193"/>
    <mergeCell ref="D209:H209"/>
    <mergeCell ref="D210:H210"/>
    <mergeCell ref="D211:H211"/>
    <mergeCell ref="D195:H195"/>
    <mergeCell ref="D196:H196"/>
    <mergeCell ref="D197:H197"/>
    <mergeCell ref="B198:B199"/>
    <mergeCell ref="C198:C199"/>
    <mergeCell ref="D198:H198"/>
    <mergeCell ref="D199:H199"/>
    <mergeCell ref="D200:H200"/>
    <mergeCell ref="D201:H201"/>
    <mergeCell ref="D202:H202"/>
    <mergeCell ref="D203:H203"/>
    <mergeCell ref="D204:H204"/>
    <mergeCell ref="D205:H205"/>
    <mergeCell ref="D206:H206"/>
    <mergeCell ref="D207:H207"/>
    <mergeCell ref="D208:H208"/>
    <mergeCell ref="D194:H194"/>
    <mergeCell ref="D225:H225"/>
    <mergeCell ref="D226:H226"/>
    <mergeCell ref="D227:H227"/>
    <mergeCell ref="D228:H228"/>
    <mergeCell ref="B212:B213"/>
    <mergeCell ref="C212:C213"/>
    <mergeCell ref="D212:H212"/>
    <mergeCell ref="D213:H213"/>
    <mergeCell ref="D214:H214"/>
    <mergeCell ref="D215:H215"/>
    <mergeCell ref="D216:H216"/>
    <mergeCell ref="D217:H217"/>
    <mergeCell ref="D218:H218"/>
    <mergeCell ref="D219:H219"/>
    <mergeCell ref="D220:H220"/>
    <mergeCell ref="D221:H221"/>
    <mergeCell ref="D222:H222"/>
    <mergeCell ref="D223:H223"/>
    <mergeCell ref="D224:H224"/>
    <mergeCell ref="D246:H246"/>
    <mergeCell ref="D229:H229"/>
    <mergeCell ref="D230:H230"/>
    <mergeCell ref="D231:H231"/>
    <mergeCell ref="D232:H232"/>
    <mergeCell ref="D233:H233"/>
    <mergeCell ref="D234:H234"/>
    <mergeCell ref="B235:H235"/>
    <mergeCell ref="D236:H236"/>
    <mergeCell ref="D237:H237"/>
    <mergeCell ref="D238:H238"/>
    <mergeCell ref="D239:H239"/>
    <mergeCell ref="D240:H240"/>
    <mergeCell ref="D241:H241"/>
    <mergeCell ref="D242:H242"/>
    <mergeCell ref="D243:H243"/>
    <mergeCell ref="A248:D248"/>
    <mergeCell ref="B250:B251"/>
    <mergeCell ref="C250:C251"/>
    <mergeCell ref="D250:D251"/>
    <mergeCell ref="A277:A278"/>
    <mergeCell ref="B277:B278"/>
    <mergeCell ref="C277:C278"/>
    <mergeCell ref="D277:D278"/>
    <mergeCell ref="A288:D288"/>
    <mergeCell ref="B290:B291"/>
    <mergeCell ref="C290:C291"/>
    <mergeCell ref="D290:D291"/>
    <mergeCell ref="A292:D292"/>
    <mergeCell ref="A303:D303"/>
    <mergeCell ref="B305:B306"/>
    <mergeCell ref="C305:C306"/>
    <mergeCell ref="D305:D306"/>
    <mergeCell ref="A318:D318"/>
    <mergeCell ref="A335:A336"/>
    <mergeCell ref="B335:B336"/>
    <mergeCell ref="C335:C336"/>
    <mergeCell ref="D335:D336"/>
    <mergeCell ref="B341:D341"/>
    <mergeCell ref="A359:D359"/>
    <mergeCell ref="B319:B320"/>
    <mergeCell ref="C319:C320"/>
    <mergeCell ref="D319:D320"/>
    <mergeCell ref="A324:D324"/>
    <mergeCell ref="A328:A329"/>
    <mergeCell ref="B328:B329"/>
    <mergeCell ref="C328:C329"/>
    <mergeCell ref="D328:D329"/>
    <mergeCell ref="A332:A334"/>
    <mergeCell ref="B332:B334"/>
    <mergeCell ref="C332:C334"/>
    <mergeCell ref="D332:D334"/>
  </mergeCells>
  <dataValidations count="2">
    <dataValidation type="list" allowBlank="1" showInputMessage="1" showErrorMessage="1" sqref="B101:B130" xr:uid="{4AE123A9-586F-4CC3-B7D1-A836EBBC0E08}">
      <formula1>#REF!</formula1>
    </dataValidation>
    <dataValidation type="list" allowBlank="1" showInputMessage="1" showErrorMessage="1" sqref="B101:B130" xr:uid="{03DCB81C-660E-4F9D-866A-BF26D2C9B135}">
      <formula1>Справочник_работ_и_услуг</formula1>
    </dataValidation>
  </dataValidations>
  <pageMargins left="0.23622047244094491" right="0.23622047244094491" top="0.74803149606299213" bottom="0.74803149606299213" header="0.31496062992125984" footer="0.31496062992125984"/>
  <pageSetup paperSize="9" scale="57" fitToHeight="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23C7F-7E6B-467E-B698-E36DBF23E813}">
  <sheetPr>
    <pageSetUpPr fitToPage="1"/>
  </sheetPr>
  <dimension ref="A1:BI372"/>
  <sheetViews>
    <sheetView topLeftCell="A354" zoomScale="55" zoomScaleNormal="55" workbookViewId="0">
      <selection activeCell="H373" sqref="A1:H373"/>
    </sheetView>
  </sheetViews>
  <sheetFormatPr defaultRowHeight="15.5" x14ac:dyDescent="0.35"/>
  <cols>
    <col min="1" max="1" width="16.1796875" style="131" customWidth="1"/>
    <col min="2" max="2" width="63.1796875" style="57" customWidth="1"/>
    <col min="3" max="3" width="8.7265625" style="57"/>
    <col min="4" max="4" width="34.1796875" style="57" customWidth="1"/>
    <col min="5" max="5" width="8.7265625" style="57"/>
    <col min="6" max="6" width="12.81640625" style="57" customWidth="1"/>
    <col min="7" max="7" width="18.453125" style="57" customWidth="1"/>
    <col min="8" max="8" width="11.36328125" style="57" customWidth="1"/>
    <col min="9" max="10" width="8.7265625" style="57"/>
    <col min="11" max="11" width="9.54296875" style="57" bestFit="1" customWidth="1"/>
    <col min="12" max="12" width="8.7265625" style="57"/>
    <col min="13" max="13" width="9.54296875" style="57" bestFit="1" customWidth="1"/>
    <col min="14" max="16384" width="8.7265625" style="57"/>
  </cols>
  <sheetData>
    <row r="1" spans="1:4" s="62" customFormat="1" ht="63.75" customHeight="1" x14ac:dyDescent="0.35">
      <c r="A1" s="379" t="s">
        <v>336</v>
      </c>
      <c r="B1" s="380"/>
      <c r="C1" s="380"/>
      <c r="D1" s="380"/>
    </row>
    <row r="2" spans="1:4" x14ac:dyDescent="0.35">
      <c r="A2" s="313" t="s">
        <v>337</v>
      </c>
      <c r="B2" s="313"/>
      <c r="C2" s="313"/>
      <c r="D2" s="313"/>
    </row>
    <row r="3" spans="1:4" x14ac:dyDescent="0.35">
      <c r="A3" s="381" t="s">
        <v>486</v>
      </c>
      <c r="B3" s="381"/>
      <c r="C3" s="381"/>
      <c r="D3" s="381"/>
    </row>
    <row r="4" spans="1:4" ht="43" customHeight="1" x14ac:dyDescent="0.35">
      <c r="A4" s="287" t="s">
        <v>0</v>
      </c>
      <c r="B4" s="316" t="s">
        <v>2</v>
      </c>
      <c r="C4" s="316" t="s">
        <v>3</v>
      </c>
      <c r="D4" s="316" t="s">
        <v>4</v>
      </c>
    </row>
    <row r="5" spans="1:4" x14ac:dyDescent="0.35">
      <c r="A5" s="287" t="s">
        <v>1</v>
      </c>
      <c r="B5" s="316"/>
      <c r="C5" s="316"/>
      <c r="D5" s="316"/>
    </row>
    <row r="6" spans="1:4" x14ac:dyDescent="0.35">
      <c r="A6" s="289" t="s">
        <v>5</v>
      </c>
      <c r="B6" s="290" t="s">
        <v>6</v>
      </c>
      <c r="C6" s="289" t="s">
        <v>7</v>
      </c>
      <c r="D6" s="455">
        <v>46073</v>
      </c>
    </row>
    <row r="7" spans="1:4" ht="21" customHeight="1" x14ac:dyDescent="0.35">
      <c r="A7" s="315" t="s">
        <v>8</v>
      </c>
      <c r="B7" s="315"/>
      <c r="C7" s="315"/>
      <c r="D7" s="315"/>
    </row>
    <row r="8" spans="1:4" ht="35" customHeight="1" x14ac:dyDescent="0.35">
      <c r="A8" s="289" t="s">
        <v>9</v>
      </c>
      <c r="B8" s="290" t="s">
        <v>10</v>
      </c>
      <c r="C8" s="289" t="s">
        <v>7</v>
      </c>
      <c r="D8" s="256" t="s">
        <v>292</v>
      </c>
    </row>
    <row r="9" spans="1:4" x14ac:dyDescent="0.35">
      <c r="A9" s="289" t="s">
        <v>12</v>
      </c>
      <c r="B9" s="290" t="s">
        <v>13</v>
      </c>
      <c r="C9" s="289" t="s">
        <v>7</v>
      </c>
      <c r="D9" s="293"/>
    </row>
    <row r="10" spans="1:4" ht="15" customHeight="1" x14ac:dyDescent="0.35">
      <c r="A10" s="315" t="s">
        <v>14</v>
      </c>
      <c r="B10" s="315"/>
      <c r="C10" s="315"/>
      <c r="D10" s="315"/>
    </row>
    <row r="11" spans="1:4" x14ac:dyDescent="0.35">
      <c r="A11" s="289" t="s">
        <v>15</v>
      </c>
      <c r="B11" s="290" t="s">
        <v>16</v>
      </c>
      <c r="C11" s="289" t="s">
        <v>7</v>
      </c>
      <c r="D11" s="256" t="s">
        <v>257</v>
      </c>
    </row>
    <row r="12" spans="1:4" ht="13" customHeight="1" x14ac:dyDescent="0.35">
      <c r="A12" s="315" t="s">
        <v>17</v>
      </c>
      <c r="B12" s="315"/>
      <c r="C12" s="315"/>
      <c r="D12" s="315"/>
    </row>
    <row r="13" spans="1:4" x14ac:dyDescent="0.35">
      <c r="A13" s="289" t="s">
        <v>18</v>
      </c>
      <c r="B13" s="290" t="s">
        <v>19</v>
      </c>
      <c r="C13" s="289" t="s">
        <v>7</v>
      </c>
      <c r="D13" s="259" t="s">
        <v>291</v>
      </c>
    </row>
    <row r="14" spans="1:4" x14ac:dyDescent="0.35">
      <c r="A14" s="289" t="s">
        <v>21</v>
      </c>
      <c r="B14" s="290" t="s">
        <v>22</v>
      </c>
      <c r="C14" s="289" t="s">
        <v>7</v>
      </c>
      <c r="D14" s="256">
        <v>2010</v>
      </c>
    </row>
    <row r="15" spans="1:4" x14ac:dyDescent="0.35">
      <c r="A15" s="289" t="s">
        <v>23</v>
      </c>
      <c r="B15" s="290" t="s">
        <v>24</v>
      </c>
      <c r="C15" s="289" t="s">
        <v>7</v>
      </c>
      <c r="D15" s="256" t="s">
        <v>25</v>
      </c>
    </row>
    <row r="16" spans="1:4" x14ac:dyDescent="0.35">
      <c r="A16" s="289" t="s">
        <v>26</v>
      </c>
      <c r="B16" s="290" t="s">
        <v>27</v>
      </c>
      <c r="C16" s="289" t="s">
        <v>7</v>
      </c>
      <c r="D16" s="256" t="s">
        <v>28</v>
      </c>
    </row>
    <row r="17" spans="1:4" x14ac:dyDescent="0.35">
      <c r="A17" s="289" t="s">
        <v>29</v>
      </c>
      <c r="B17" s="290" t="s">
        <v>30</v>
      </c>
      <c r="C17" s="289" t="s">
        <v>7</v>
      </c>
      <c r="D17" s="256">
        <v>25</v>
      </c>
    </row>
    <row r="18" spans="1:4" x14ac:dyDescent="0.35">
      <c r="A18" s="289" t="s">
        <v>31</v>
      </c>
      <c r="B18" s="95" t="s">
        <v>32</v>
      </c>
      <c r="C18" s="289" t="s">
        <v>33</v>
      </c>
      <c r="D18" s="256">
        <v>25</v>
      </c>
    </row>
    <row r="19" spans="1:4" x14ac:dyDescent="0.35">
      <c r="A19" s="289" t="s">
        <v>34</v>
      </c>
      <c r="B19" s="95" t="s">
        <v>35</v>
      </c>
      <c r="C19" s="289" t="s">
        <v>33</v>
      </c>
      <c r="D19" s="256">
        <v>1</v>
      </c>
    </row>
    <row r="20" spans="1:4" x14ac:dyDescent="0.35">
      <c r="A20" s="289" t="s">
        <v>36</v>
      </c>
      <c r="B20" s="290" t="s">
        <v>37</v>
      </c>
      <c r="C20" s="289" t="s">
        <v>33</v>
      </c>
      <c r="D20" s="256">
        <v>1</v>
      </c>
    </row>
    <row r="21" spans="1:4" x14ac:dyDescent="0.35">
      <c r="A21" s="289" t="s">
        <v>38</v>
      </c>
      <c r="B21" s="290" t="s">
        <v>39</v>
      </c>
      <c r="C21" s="289" t="s">
        <v>33</v>
      </c>
      <c r="D21" s="256">
        <v>3</v>
      </c>
    </row>
    <row r="22" spans="1:4" x14ac:dyDescent="0.35">
      <c r="A22" s="289" t="s">
        <v>40</v>
      </c>
      <c r="B22" s="290" t="s">
        <v>41</v>
      </c>
      <c r="C22" s="289" t="s">
        <v>7</v>
      </c>
      <c r="D22" s="256"/>
    </row>
    <row r="23" spans="1:4" x14ac:dyDescent="0.35">
      <c r="A23" s="289" t="s">
        <v>42</v>
      </c>
      <c r="B23" s="95" t="s">
        <v>43</v>
      </c>
      <c r="C23" s="289" t="s">
        <v>33</v>
      </c>
      <c r="D23" s="256">
        <v>192</v>
      </c>
    </row>
    <row r="24" spans="1:4" x14ac:dyDescent="0.35">
      <c r="A24" s="289" t="s">
        <v>44</v>
      </c>
      <c r="B24" s="95" t="s">
        <v>45</v>
      </c>
      <c r="C24" s="289" t="s">
        <v>33</v>
      </c>
      <c r="D24" s="256">
        <v>7</v>
      </c>
    </row>
    <row r="25" spans="1:4" x14ac:dyDescent="0.35">
      <c r="A25" s="289" t="s">
        <v>46</v>
      </c>
      <c r="B25" s="290" t="s">
        <v>47</v>
      </c>
      <c r="C25" s="289" t="s">
        <v>48</v>
      </c>
      <c r="D25" s="256">
        <v>16614.080000000002</v>
      </c>
    </row>
    <row r="26" spans="1:4" x14ac:dyDescent="0.35">
      <c r="A26" s="289" t="s">
        <v>49</v>
      </c>
      <c r="B26" s="95" t="s">
        <v>50</v>
      </c>
      <c r="C26" s="289" t="s">
        <v>48</v>
      </c>
      <c r="D26" s="256">
        <v>12084.5</v>
      </c>
    </row>
    <row r="27" spans="1:4" x14ac:dyDescent="0.35">
      <c r="A27" s="289" t="s">
        <v>51</v>
      </c>
      <c r="B27" s="95" t="s">
        <v>52</v>
      </c>
      <c r="C27" s="289" t="s">
        <v>48</v>
      </c>
      <c r="D27" s="256">
        <v>859.98</v>
      </c>
    </row>
    <row r="28" spans="1:4" ht="31" x14ac:dyDescent="0.35">
      <c r="A28" s="289" t="s">
        <v>53</v>
      </c>
      <c r="B28" s="95" t="s">
        <v>54</v>
      </c>
      <c r="C28" s="289" t="s">
        <v>48</v>
      </c>
      <c r="D28" s="256">
        <v>3669.6</v>
      </c>
    </row>
    <row r="29" spans="1:4" ht="31" x14ac:dyDescent="0.35">
      <c r="A29" s="289" t="s">
        <v>55</v>
      </c>
      <c r="B29" s="290" t="s">
        <v>56</v>
      </c>
      <c r="C29" s="289" t="s">
        <v>7</v>
      </c>
      <c r="D29" s="256" t="s">
        <v>293</v>
      </c>
    </row>
    <row r="30" spans="1:4" ht="31" x14ac:dyDescent="0.35">
      <c r="A30" s="289" t="s">
        <v>57</v>
      </c>
      <c r="B30" s="290" t="s">
        <v>58</v>
      </c>
      <c r="C30" s="289" t="s">
        <v>48</v>
      </c>
      <c r="D30" s="256">
        <v>6280</v>
      </c>
    </row>
    <row r="31" spans="1:4" x14ac:dyDescent="0.35">
      <c r="A31" s="289" t="s">
        <v>59</v>
      </c>
      <c r="B31" s="290" t="s">
        <v>60</v>
      </c>
      <c r="C31" s="289" t="s">
        <v>48</v>
      </c>
      <c r="D31" s="256">
        <v>795</v>
      </c>
    </row>
    <row r="32" spans="1:4" x14ac:dyDescent="0.35">
      <c r="A32" s="289" t="s">
        <v>61</v>
      </c>
      <c r="B32" s="290" t="s">
        <v>62</v>
      </c>
      <c r="C32" s="289" t="s">
        <v>7</v>
      </c>
      <c r="D32" s="256" t="s">
        <v>63</v>
      </c>
    </row>
    <row r="33" spans="1:4" x14ac:dyDescent="0.35">
      <c r="A33" s="315" t="s">
        <v>64</v>
      </c>
      <c r="B33" s="315"/>
      <c r="C33" s="315"/>
      <c r="D33" s="315"/>
    </row>
    <row r="34" spans="1:4" x14ac:dyDescent="0.35">
      <c r="A34" s="289" t="s">
        <v>65</v>
      </c>
      <c r="B34" s="290" t="s">
        <v>66</v>
      </c>
      <c r="C34" s="289" t="s">
        <v>7</v>
      </c>
      <c r="D34" s="256" t="s">
        <v>67</v>
      </c>
    </row>
    <row r="35" spans="1:4" x14ac:dyDescent="0.35">
      <c r="A35" s="289" t="s">
        <v>68</v>
      </c>
      <c r="B35" s="290" t="s">
        <v>69</v>
      </c>
      <c r="C35" s="289" t="s">
        <v>7</v>
      </c>
      <c r="D35" s="256" t="s">
        <v>67</v>
      </c>
    </row>
    <row r="36" spans="1:4" x14ac:dyDescent="0.35">
      <c r="A36" s="289" t="s">
        <v>70</v>
      </c>
      <c r="B36" s="290" t="s">
        <v>259</v>
      </c>
      <c r="C36" s="289" t="s">
        <v>7</v>
      </c>
      <c r="D36" s="256">
        <v>56</v>
      </c>
    </row>
    <row r="37" spans="1:4" x14ac:dyDescent="0.35">
      <c r="A37" s="106"/>
      <c r="B37" s="91"/>
      <c r="C37" s="91"/>
      <c r="D37" s="91"/>
    </row>
    <row r="38" spans="1:4" ht="33" customHeight="1" x14ac:dyDescent="0.35">
      <c r="A38" s="377" t="s">
        <v>71</v>
      </c>
      <c r="B38" s="378"/>
      <c r="C38" s="378"/>
      <c r="D38" s="378"/>
    </row>
    <row r="39" spans="1:4" x14ac:dyDescent="0.35">
      <c r="A39" s="102" t="s">
        <v>0</v>
      </c>
      <c r="B39" s="330" t="s">
        <v>2</v>
      </c>
      <c r="C39" s="330" t="s">
        <v>3</v>
      </c>
      <c r="D39" s="326" t="s">
        <v>4</v>
      </c>
    </row>
    <row r="40" spans="1:4" x14ac:dyDescent="0.35">
      <c r="A40" s="285" t="s">
        <v>1</v>
      </c>
      <c r="B40" s="330"/>
      <c r="C40" s="330"/>
      <c r="D40" s="326"/>
    </row>
    <row r="41" spans="1:4" x14ac:dyDescent="0.35">
      <c r="A41" s="291" t="s">
        <v>5</v>
      </c>
      <c r="B41" s="292" t="s">
        <v>6</v>
      </c>
      <c r="C41" s="291" t="s">
        <v>7</v>
      </c>
      <c r="D41" s="103">
        <v>46073</v>
      </c>
    </row>
    <row r="42" spans="1:4" x14ac:dyDescent="0.35">
      <c r="A42" s="315" t="s">
        <v>72</v>
      </c>
      <c r="B42" s="315"/>
      <c r="C42" s="315"/>
      <c r="D42" s="315"/>
    </row>
    <row r="43" spans="1:4" ht="16" x14ac:dyDescent="0.35">
      <c r="A43" s="291" t="s">
        <v>9</v>
      </c>
      <c r="B43" s="292" t="s">
        <v>73</v>
      </c>
      <c r="C43" s="291" t="s">
        <v>7</v>
      </c>
      <c r="D43" s="104" t="s">
        <v>74</v>
      </c>
    </row>
    <row r="44" spans="1:4" x14ac:dyDescent="0.35">
      <c r="A44" s="315" t="s">
        <v>75</v>
      </c>
      <c r="B44" s="315"/>
      <c r="C44" s="315"/>
      <c r="D44" s="315"/>
    </row>
    <row r="45" spans="1:4" ht="16" x14ac:dyDescent="0.35">
      <c r="A45" s="291" t="s">
        <v>12</v>
      </c>
      <c r="B45" s="292" t="s">
        <v>76</v>
      </c>
      <c r="C45" s="291" t="s">
        <v>7</v>
      </c>
      <c r="D45" s="104" t="s">
        <v>77</v>
      </c>
    </row>
    <row r="46" spans="1:4" ht="16" x14ac:dyDescent="0.35">
      <c r="A46" s="291" t="s">
        <v>15</v>
      </c>
      <c r="B46" s="292" t="s">
        <v>78</v>
      </c>
      <c r="C46" s="291" t="s">
        <v>7</v>
      </c>
      <c r="D46" s="104" t="s">
        <v>79</v>
      </c>
    </row>
    <row r="47" spans="1:4" x14ac:dyDescent="0.35">
      <c r="A47" s="315" t="s">
        <v>80</v>
      </c>
      <c r="B47" s="315"/>
      <c r="C47" s="315"/>
      <c r="D47" s="315"/>
    </row>
    <row r="48" spans="1:4" ht="16" x14ac:dyDescent="0.35">
      <c r="A48" s="291" t="s">
        <v>18</v>
      </c>
      <c r="B48" s="292" t="s">
        <v>81</v>
      </c>
      <c r="C48" s="291" t="s">
        <v>7</v>
      </c>
      <c r="D48" s="104" t="s">
        <v>82</v>
      </c>
    </row>
    <row r="49" spans="1:4" x14ac:dyDescent="0.35">
      <c r="A49" s="315" t="s">
        <v>83</v>
      </c>
      <c r="B49" s="315"/>
      <c r="C49" s="315"/>
      <c r="D49" s="315"/>
    </row>
    <row r="50" spans="1:4" ht="16" x14ac:dyDescent="0.35">
      <c r="A50" s="291" t="s">
        <v>21</v>
      </c>
      <c r="B50" s="292" t="s">
        <v>84</v>
      </c>
      <c r="C50" s="291" t="s">
        <v>7</v>
      </c>
      <c r="D50" s="104" t="s">
        <v>85</v>
      </c>
    </row>
    <row r="51" spans="1:4" ht="16" x14ac:dyDescent="0.35">
      <c r="A51" s="291" t="s">
        <v>23</v>
      </c>
      <c r="B51" s="292" t="s">
        <v>86</v>
      </c>
      <c r="C51" s="291" t="s">
        <v>7</v>
      </c>
      <c r="D51" s="104" t="s">
        <v>87</v>
      </c>
    </row>
    <row r="52" spans="1:4" x14ac:dyDescent="0.35">
      <c r="A52" s="315" t="s">
        <v>88</v>
      </c>
      <c r="B52" s="315"/>
      <c r="C52" s="315"/>
      <c r="D52" s="315"/>
    </row>
    <row r="53" spans="1:4" ht="16" x14ac:dyDescent="0.35">
      <c r="A53" s="291" t="s">
        <v>26</v>
      </c>
      <c r="B53" s="292" t="s">
        <v>89</v>
      </c>
      <c r="C53" s="291" t="s">
        <v>48</v>
      </c>
      <c r="D53" s="104">
        <v>1400</v>
      </c>
    </row>
    <row r="54" spans="1:4" x14ac:dyDescent="0.35">
      <c r="A54" s="315" t="s">
        <v>90</v>
      </c>
      <c r="B54" s="315"/>
      <c r="C54" s="315"/>
      <c r="D54" s="315"/>
    </row>
    <row r="55" spans="1:4" ht="16" x14ac:dyDescent="0.35">
      <c r="A55" s="291" t="s">
        <v>29</v>
      </c>
      <c r="B55" s="292" t="s">
        <v>91</v>
      </c>
      <c r="C55" s="291" t="s">
        <v>7</v>
      </c>
      <c r="D55" s="104"/>
    </row>
    <row r="56" spans="1:4" ht="16" x14ac:dyDescent="0.35">
      <c r="A56" s="291" t="s">
        <v>31</v>
      </c>
      <c r="B56" s="292" t="s">
        <v>92</v>
      </c>
      <c r="C56" s="291" t="s">
        <v>33</v>
      </c>
      <c r="D56" s="104">
        <v>1</v>
      </c>
    </row>
    <row r="57" spans="1:4" x14ac:dyDescent="0.35">
      <c r="A57" s="315" t="s">
        <v>93</v>
      </c>
      <c r="B57" s="315"/>
      <c r="C57" s="315"/>
      <c r="D57" s="315"/>
    </row>
    <row r="58" spans="1:4" ht="16" x14ac:dyDescent="0.35">
      <c r="A58" s="291" t="s">
        <v>34</v>
      </c>
      <c r="B58" s="292" t="s">
        <v>94</v>
      </c>
      <c r="C58" s="291" t="s">
        <v>7</v>
      </c>
      <c r="D58" s="104">
        <v>1</v>
      </c>
    </row>
    <row r="59" spans="1:4" ht="16" x14ac:dyDescent="0.35">
      <c r="A59" s="291" t="s">
        <v>36</v>
      </c>
      <c r="B59" s="292" t="s">
        <v>95</v>
      </c>
      <c r="C59" s="291" t="s">
        <v>7</v>
      </c>
      <c r="D59" s="104" t="s">
        <v>96</v>
      </c>
    </row>
    <row r="60" spans="1:4" x14ac:dyDescent="0.35">
      <c r="A60" s="291" t="s">
        <v>38</v>
      </c>
      <c r="B60" s="292" t="s">
        <v>97</v>
      </c>
      <c r="C60" s="291" t="s">
        <v>7</v>
      </c>
      <c r="D60" s="296">
        <v>2012</v>
      </c>
    </row>
    <row r="61" spans="1:4" ht="16" x14ac:dyDescent="0.35">
      <c r="A61" s="291" t="s">
        <v>34</v>
      </c>
      <c r="B61" s="292" t="s">
        <v>94</v>
      </c>
      <c r="C61" s="291" t="s">
        <v>7</v>
      </c>
      <c r="D61" s="104">
        <v>1</v>
      </c>
    </row>
    <row r="62" spans="1:4" ht="16" x14ac:dyDescent="0.35">
      <c r="A62" s="291" t="s">
        <v>36</v>
      </c>
      <c r="B62" s="292" t="s">
        <v>95</v>
      </c>
      <c r="C62" s="291" t="s">
        <v>7</v>
      </c>
      <c r="D62" s="104" t="s">
        <v>96</v>
      </c>
    </row>
    <row r="63" spans="1:4" x14ac:dyDescent="0.35">
      <c r="A63" s="291" t="s">
        <v>38</v>
      </c>
      <c r="B63" s="292" t="s">
        <v>97</v>
      </c>
      <c r="C63" s="291" t="s">
        <v>7</v>
      </c>
      <c r="D63" s="296">
        <v>2012</v>
      </c>
    </row>
    <row r="64" spans="1:4" ht="16" x14ac:dyDescent="0.35">
      <c r="A64" s="291" t="s">
        <v>34</v>
      </c>
      <c r="B64" s="292" t="s">
        <v>94</v>
      </c>
      <c r="C64" s="291" t="s">
        <v>7</v>
      </c>
      <c r="D64" s="104">
        <v>1</v>
      </c>
    </row>
    <row r="65" spans="1:4" ht="16" x14ac:dyDescent="0.35">
      <c r="A65" s="291" t="s">
        <v>36</v>
      </c>
      <c r="B65" s="292" t="s">
        <v>95</v>
      </c>
      <c r="C65" s="291" t="s">
        <v>7</v>
      </c>
      <c r="D65" s="104" t="s">
        <v>98</v>
      </c>
    </row>
    <row r="66" spans="1:4" x14ac:dyDescent="0.35">
      <c r="A66" s="291" t="s">
        <v>38</v>
      </c>
      <c r="B66" s="292" t="s">
        <v>97</v>
      </c>
      <c r="C66" s="291" t="s">
        <v>7</v>
      </c>
      <c r="D66" s="296">
        <v>2012</v>
      </c>
    </row>
    <row r="67" spans="1:4" x14ac:dyDescent="0.35">
      <c r="A67" s="315" t="s">
        <v>99</v>
      </c>
      <c r="B67" s="315"/>
      <c r="C67" s="315"/>
      <c r="D67" s="315"/>
    </row>
    <row r="68" spans="1:4" ht="16" x14ac:dyDescent="0.35">
      <c r="A68" s="291" t="s">
        <v>40</v>
      </c>
      <c r="B68" s="292" t="s">
        <v>100</v>
      </c>
      <c r="C68" s="291" t="s">
        <v>7</v>
      </c>
      <c r="D68" s="104" t="s">
        <v>101</v>
      </c>
    </row>
    <row r="69" spans="1:4" ht="16" x14ac:dyDescent="0.35">
      <c r="A69" s="291" t="s">
        <v>42</v>
      </c>
      <c r="B69" s="292" t="s">
        <v>102</v>
      </c>
      <c r="C69" s="291" t="s">
        <v>7</v>
      </c>
      <c r="D69" s="104" t="s">
        <v>103</v>
      </c>
    </row>
    <row r="70" spans="1:4" ht="16" x14ac:dyDescent="0.35">
      <c r="A70" s="291" t="s">
        <v>44</v>
      </c>
      <c r="B70" s="292" t="s">
        <v>104</v>
      </c>
      <c r="C70" s="291" t="s">
        <v>7</v>
      </c>
      <c r="D70" s="104" t="s">
        <v>105</v>
      </c>
    </row>
    <row r="71" spans="1:4" ht="16" x14ac:dyDescent="0.35">
      <c r="A71" s="291" t="s">
        <v>46</v>
      </c>
      <c r="B71" s="292" t="s">
        <v>106</v>
      </c>
      <c r="C71" s="291" t="s">
        <v>7</v>
      </c>
      <c r="D71" s="104" t="s">
        <v>107</v>
      </c>
    </row>
    <row r="72" spans="1:4" x14ac:dyDescent="0.35">
      <c r="A72" s="291" t="s">
        <v>49</v>
      </c>
      <c r="B72" s="292" t="s">
        <v>108</v>
      </c>
      <c r="C72" s="291" t="s">
        <v>7</v>
      </c>
      <c r="D72" s="296">
        <v>2012</v>
      </c>
    </row>
    <row r="73" spans="1:4" x14ac:dyDescent="0.35">
      <c r="A73" s="291" t="s">
        <v>51</v>
      </c>
      <c r="B73" s="292" t="s">
        <v>109</v>
      </c>
      <c r="C73" s="291" t="s">
        <v>7</v>
      </c>
      <c r="D73" s="105">
        <v>44806</v>
      </c>
    </row>
    <row r="74" spans="1:4" x14ac:dyDescent="0.35">
      <c r="A74" s="315" t="s">
        <v>99</v>
      </c>
      <c r="B74" s="315"/>
      <c r="C74" s="315"/>
      <c r="D74" s="315"/>
    </row>
    <row r="75" spans="1:4" ht="16" x14ac:dyDescent="0.35">
      <c r="A75" s="291" t="s">
        <v>53</v>
      </c>
      <c r="B75" s="292" t="s">
        <v>110</v>
      </c>
      <c r="C75" s="291" t="s">
        <v>7</v>
      </c>
      <c r="D75" s="104" t="s">
        <v>111</v>
      </c>
    </row>
    <row r="76" spans="1:4" ht="16" x14ac:dyDescent="0.35">
      <c r="A76" s="291" t="s">
        <v>55</v>
      </c>
      <c r="B76" s="292" t="s">
        <v>112</v>
      </c>
      <c r="C76" s="291" t="s">
        <v>7</v>
      </c>
      <c r="D76" s="104" t="s">
        <v>113</v>
      </c>
    </row>
    <row r="77" spans="1:4" ht="16" x14ac:dyDescent="0.35">
      <c r="A77" s="291" t="s">
        <v>57</v>
      </c>
      <c r="B77" s="292" t="s">
        <v>104</v>
      </c>
      <c r="C77" s="291" t="s">
        <v>7</v>
      </c>
      <c r="D77" s="104" t="s">
        <v>114</v>
      </c>
    </row>
    <row r="78" spans="1:4" ht="16" x14ac:dyDescent="0.35">
      <c r="A78" s="291" t="s">
        <v>59</v>
      </c>
      <c r="B78" s="292" t="s">
        <v>106</v>
      </c>
      <c r="C78" s="291" t="s">
        <v>7</v>
      </c>
      <c r="D78" s="104" t="s">
        <v>115</v>
      </c>
    </row>
    <row r="79" spans="1:4" x14ac:dyDescent="0.35">
      <c r="A79" s="291" t="s">
        <v>61</v>
      </c>
      <c r="B79" s="292" t="s">
        <v>108</v>
      </c>
      <c r="C79" s="291" t="s">
        <v>7</v>
      </c>
      <c r="D79" s="296">
        <v>2012</v>
      </c>
    </row>
    <row r="80" spans="1:4" x14ac:dyDescent="0.35">
      <c r="A80" s="291" t="s">
        <v>65</v>
      </c>
      <c r="B80" s="292" t="s">
        <v>109</v>
      </c>
      <c r="C80" s="291" t="s">
        <v>7</v>
      </c>
      <c r="D80" s="105">
        <v>45169</v>
      </c>
    </row>
    <row r="81" spans="1:4" hidden="1" x14ac:dyDescent="0.35">
      <c r="A81" s="315" t="s">
        <v>99</v>
      </c>
      <c r="B81" s="315"/>
      <c r="C81" s="315"/>
      <c r="D81" s="315"/>
    </row>
    <row r="82" spans="1:4" ht="16" hidden="1" x14ac:dyDescent="0.35">
      <c r="A82" s="291" t="s">
        <v>68</v>
      </c>
      <c r="B82" s="292" t="s">
        <v>110</v>
      </c>
      <c r="C82" s="291" t="s">
        <v>7</v>
      </c>
      <c r="D82" s="104" t="s">
        <v>116</v>
      </c>
    </row>
    <row r="83" spans="1:4" ht="16" hidden="1" x14ac:dyDescent="0.35">
      <c r="A83" s="291" t="s">
        <v>70</v>
      </c>
      <c r="B83" s="292" t="s">
        <v>112</v>
      </c>
      <c r="C83" s="291" t="s">
        <v>7</v>
      </c>
      <c r="D83" s="104" t="s">
        <v>113</v>
      </c>
    </row>
    <row r="84" spans="1:4" ht="16" hidden="1" x14ac:dyDescent="0.35">
      <c r="A84" s="291" t="s">
        <v>117</v>
      </c>
      <c r="B84" s="292" t="s">
        <v>104</v>
      </c>
      <c r="C84" s="291" t="s">
        <v>7</v>
      </c>
      <c r="D84" s="104" t="s">
        <v>118</v>
      </c>
    </row>
    <row r="85" spans="1:4" ht="16" hidden="1" x14ac:dyDescent="0.35">
      <c r="A85" s="291" t="s">
        <v>119</v>
      </c>
      <c r="B85" s="292" t="s">
        <v>106</v>
      </c>
      <c r="C85" s="291" t="s">
        <v>7</v>
      </c>
      <c r="D85" s="104" t="s">
        <v>120</v>
      </c>
    </row>
    <row r="86" spans="1:4" hidden="1" x14ac:dyDescent="0.35">
      <c r="A86" s="291" t="s">
        <v>121</v>
      </c>
      <c r="B86" s="292" t="s">
        <v>108</v>
      </c>
      <c r="C86" s="291" t="s">
        <v>7</v>
      </c>
      <c r="D86" s="296">
        <v>2009</v>
      </c>
    </row>
    <row r="87" spans="1:4" hidden="1" x14ac:dyDescent="0.35">
      <c r="A87" s="291" t="s">
        <v>122</v>
      </c>
      <c r="B87" s="292" t="s">
        <v>109</v>
      </c>
      <c r="C87" s="291" t="s">
        <v>7</v>
      </c>
      <c r="D87" s="296" t="s">
        <v>123</v>
      </c>
    </row>
    <row r="88" spans="1:4" x14ac:dyDescent="0.35">
      <c r="A88" s="315" t="s">
        <v>124</v>
      </c>
      <c r="B88" s="315"/>
      <c r="C88" s="315"/>
      <c r="D88" s="315"/>
    </row>
    <row r="89" spans="1:4" ht="16" x14ac:dyDescent="0.35">
      <c r="A89" s="291" t="s">
        <v>122</v>
      </c>
      <c r="B89" s="292" t="s">
        <v>125</v>
      </c>
      <c r="C89" s="291" t="s">
        <v>7</v>
      </c>
      <c r="D89" s="104" t="s">
        <v>126</v>
      </c>
    </row>
    <row r="90" spans="1:4" x14ac:dyDescent="0.35">
      <c r="A90" s="315" t="s">
        <v>127</v>
      </c>
      <c r="B90" s="315"/>
      <c r="C90" s="315"/>
      <c r="D90" s="315"/>
    </row>
    <row r="91" spans="1:4" ht="32" x14ac:dyDescent="0.35">
      <c r="A91" s="291" t="s">
        <v>128</v>
      </c>
      <c r="B91" s="292" t="s">
        <v>129</v>
      </c>
      <c r="C91" s="291" t="s">
        <v>7</v>
      </c>
      <c r="D91" s="104" t="s">
        <v>130</v>
      </c>
    </row>
    <row r="92" spans="1:4" x14ac:dyDescent="0.35">
      <c r="A92" s="315" t="s">
        <v>131</v>
      </c>
      <c r="B92" s="315"/>
      <c r="C92" s="315"/>
      <c r="D92" s="315"/>
    </row>
    <row r="93" spans="1:4" ht="16" x14ac:dyDescent="0.35">
      <c r="A93" s="291" t="s">
        <v>132</v>
      </c>
      <c r="B93" s="292" t="s">
        <v>133</v>
      </c>
      <c r="C93" s="291" t="s">
        <v>7</v>
      </c>
      <c r="D93" s="104" t="s">
        <v>134</v>
      </c>
    </row>
    <row r="94" spans="1:4" x14ac:dyDescent="0.35">
      <c r="A94" s="315" t="s">
        <v>135</v>
      </c>
      <c r="B94" s="315"/>
      <c r="C94" s="315"/>
      <c r="D94" s="315"/>
    </row>
    <row r="95" spans="1:4" ht="16" x14ac:dyDescent="0.35">
      <c r="A95" s="291" t="s">
        <v>136</v>
      </c>
      <c r="B95" s="292" t="s">
        <v>137</v>
      </c>
      <c r="C95" s="291" t="s">
        <v>7</v>
      </c>
      <c r="D95" s="104" t="s">
        <v>138</v>
      </c>
    </row>
    <row r="96" spans="1:4" x14ac:dyDescent="0.35">
      <c r="A96" s="315" t="s">
        <v>139</v>
      </c>
      <c r="B96" s="315"/>
      <c r="C96" s="315"/>
      <c r="D96" s="315"/>
    </row>
    <row r="97" spans="1:11" x14ac:dyDescent="0.35">
      <c r="A97" s="106"/>
      <c r="B97" s="91"/>
      <c r="C97" s="91"/>
      <c r="D97" s="91"/>
    </row>
    <row r="98" spans="1:11" ht="43.5" customHeight="1" x14ac:dyDescent="0.35">
      <c r="A98" s="414" t="s">
        <v>347</v>
      </c>
      <c r="B98" s="415"/>
      <c r="C98" s="415"/>
      <c r="D98" s="415"/>
      <c r="E98" s="415"/>
      <c r="F98" s="415"/>
      <c r="G98" s="415"/>
      <c r="H98" s="415"/>
    </row>
    <row r="99" spans="1:11" s="265" customFormat="1" ht="39" customHeight="1" x14ac:dyDescent="0.35">
      <c r="A99" s="212" t="s">
        <v>0</v>
      </c>
      <c r="B99" s="355" t="s">
        <v>391</v>
      </c>
      <c r="C99" s="355" t="s">
        <v>106</v>
      </c>
      <c r="D99" s="213" t="s">
        <v>392</v>
      </c>
      <c r="E99" s="214" t="s">
        <v>393</v>
      </c>
      <c r="F99" s="214"/>
      <c r="G99" s="214" t="s">
        <v>394</v>
      </c>
      <c r="H99" s="214"/>
    </row>
    <row r="100" spans="1:11" s="265" customFormat="1" ht="57.5" x14ac:dyDescent="0.35">
      <c r="A100" s="212"/>
      <c r="B100" s="356"/>
      <c r="C100" s="356"/>
      <c r="D100" s="213" t="s">
        <v>395</v>
      </c>
      <c r="E100" s="213" t="s">
        <v>396</v>
      </c>
      <c r="F100" s="213" t="s">
        <v>397</v>
      </c>
      <c r="G100" s="213" t="s">
        <v>396</v>
      </c>
      <c r="H100" s="213" t="s">
        <v>398</v>
      </c>
    </row>
    <row r="101" spans="1:11" s="268" customFormat="1" ht="28.5" customHeight="1" x14ac:dyDescent="0.35">
      <c r="A101" s="212">
        <v>1</v>
      </c>
      <c r="B101" s="266" t="s">
        <v>399</v>
      </c>
      <c r="C101" s="215" t="s">
        <v>400</v>
      </c>
      <c r="D101" s="267">
        <f>SUM(D102:D107)</f>
        <v>0.53051800000000005</v>
      </c>
      <c r="E101" s="216">
        <v>12944.48</v>
      </c>
      <c r="F101" s="216">
        <f>D101*E101</f>
        <v>6867.2796406400003</v>
      </c>
      <c r="G101" s="216">
        <f>E101</f>
        <v>12944.48</v>
      </c>
      <c r="H101" s="216">
        <f>F101*12</f>
        <v>82407.355687679999</v>
      </c>
    </row>
    <row r="102" spans="1:11" s="265" customFormat="1" ht="22" customHeight="1" x14ac:dyDescent="0.35">
      <c r="A102" s="213"/>
      <c r="B102" s="108" t="s">
        <v>401</v>
      </c>
      <c r="C102" s="214" t="s">
        <v>402</v>
      </c>
      <c r="D102" s="211">
        <f>'[1]МКД К.Беляева 40 Б'!$B$5</f>
        <v>1.0518E-2</v>
      </c>
      <c r="E102" s="65">
        <f t="shared" ref="E102:E108" si="0">E101</f>
        <v>12944.48</v>
      </c>
      <c r="F102" s="65">
        <f>D102*E102</f>
        <v>136.15004063999999</v>
      </c>
      <c r="G102" s="65">
        <f>E102</f>
        <v>12944.48</v>
      </c>
      <c r="H102" s="65">
        <f>F102*12</f>
        <v>1633.8004876799998</v>
      </c>
    </row>
    <row r="103" spans="1:11" s="265" customFormat="1" ht="25.5" customHeight="1" x14ac:dyDescent="0.35">
      <c r="A103" s="213"/>
      <c r="B103" s="108" t="s">
        <v>403</v>
      </c>
      <c r="C103" s="214" t="s">
        <v>402</v>
      </c>
      <c r="D103" s="83">
        <v>0.11</v>
      </c>
      <c r="E103" s="65">
        <f t="shared" si="0"/>
        <v>12944.48</v>
      </c>
      <c r="F103" s="65">
        <f t="shared" ref="F103:F130" si="1">D103*E103</f>
        <v>1423.8927999999999</v>
      </c>
      <c r="G103" s="65">
        <f t="shared" ref="G103:G130" si="2">E103</f>
        <v>12944.48</v>
      </c>
      <c r="H103" s="65">
        <f t="shared" ref="H103:H130" si="3">F103*12</f>
        <v>17086.713599999999</v>
      </c>
    </row>
    <row r="104" spans="1:11" s="265" customFormat="1" ht="22" customHeight="1" x14ac:dyDescent="0.35">
      <c r="A104" s="213"/>
      <c r="B104" s="108" t="s">
        <v>404</v>
      </c>
      <c r="C104" s="214" t="s">
        <v>402</v>
      </c>
      <c r="D104" s="83">
        <v>0.12</v>
      </c>
      <c r="E104" s="65">
        <f t="shared" si="0"/>
        <v>12944.48</v>
      </c>
      <c r="F104" s="65">
        <f t="shared" si="1"/>
        <v>1553.3375999999998</v>
      </c>
      <c r="G104" s="65">
        <f t="shared" si="2"/>
        <v>12944.48</v>
      </c>
      <c r="H104" s="65">
        <f t="shared" si="3"/>
        <v>18640.051199999998</v>
      </c>
    </row>
    <row r="105" spans="1:11" s="265" customFormat="1" ht="22" customHeight="1" x14ac:dyDescent="0.35">
      <c r="A105" s="213"/>
      <c r="B105" s="108" t="s">
        <v>405</v>
      </c>
      <c r="C105" s="214" t="s">
        <v>402</v>
      </c>
      <c r="D105" s="83">
        <v>0.03</v>
      </c>
      <c r="E105" s="65">
        <f t="shared" si="0"/>
        <v>12944.48</v>
      </c>
      <c r="F105" s="65">
        <f t="shared" si="1"/>
        <v>388.33439999999996</v>
      </c>
      <c r="G105" s="65">
        <f t="shared" si="2"/>
        <v>12944.48</v>
      </c>
      <c r="H105" s="65">
        <f t="shared" si="3"/>
        <v>4660.0127999999995</v>
      </c>
    </row>
    <row r="106" spans="1:11" s="265" customFormat="1" ht="22" customHeight="1" x14ac:dyDescent="0.35">
      <c r="A106" s="213"/>
      <c r="B106" s="108" t="s">
        <v>406</v>
      </c>
      <c r="C106" s="214" t="s">
        <v>402</v>
      </c>
      <c r="D106" s="83">
        <v>0.15</v>
      </c>
      <c r="E106" s="65">
        <f t="shared" si="0"/>
        <v>12944.48</v>
      </c>
      <c r="F106" s="65">
        <f t="shared" si="1"/>
        <v>1941.6719999999998</v>
      </c>
      <c r="G106" s="65">
        <f t="shared" si="2"/>
        <v>12944.48</v>
      </c>
      <c r="H106" s="65">
        <f t="shared" si="3"/>
        <v>23300.063999999998</v>
      </c>
    </row>
    <row r="107" spans="1:11" s="265" customFormat="1" ht="35.5" customHeight="1" x14ac:dyDescent="0.35">
      <c r="A107" s="213"/>
      <c r="B107" s="108" t="s">
        <v>407</v>
      </c>
      <c r="C107" s="214" t="s">
        <v>402</v>
      </c>
      <c r="D107" s="83">
        <v>0.11</v>
      </c>
      <c r="E107" s="65">
        <f t="shared" si="0"/>
        <v>12944.48</v>
      </c>
      <c r="F107" s="65">
        <f t="shared" si="1"/>
        <v>1423.8927999999999</v>
      </c>
      <c r="G107" s="65">
        <f t="shared" si="2"/>
        <v>12944.48</v>
      </c>
      <c r="H107" s="65">
        <f t="shared" si="3"/>
        <v>17086.713599999999</v>
      </c>
    </row>
    <row r="108" spans="1:11" s="268" customFormat="1" ht="36" customHeight="1" x14ac:dyDescent="0.35">
      <c r="A108" s="212" t="s">
        <v>408</v>
      </c>
      <c r="B108" s="266" t="s">
        <v>262</v>
      </c>
      <c r="C108" s="215" t="s">
        <v>402</v>
      </c>
      <c r="D108" s="269">
        <f>SUM(D109:D114)</f>
        <v>6.25</v>
      </c>
      <c r="E108" s="216">
        <f t="shared" si="0"/>
        <v>12944.48</v>
      </c>
      <c r="F108" s="216">
        <f t="shared" si="1"/>
        <v>80903</v>
      </c>
      <c r="G108" s="216">
        <f t="shared" si="2"/>
        <v>12944.48</v>
      </c>
      <c r="H108" s="216">
        <f t="shared" si="3"/>
        <v>970836</v>
      </c>
      <c r="K108" s="270">
        <f>H108</f>
        <v>970836</v>
      </c>
    </row>
    <row r="109" spans="1:11" s="265" customFormat="1" ht="22" customHeight="1" x14ac:dyDescent="0.35">
      <c r="A109" s="213"/>
      <c r="B109" s="108" t="s">
        <v>409</v>
      </c>
      <c r="C109" s="214" t="s">
        <v>402</v>
      </c>
      <c r="D109" s="83">
        <v>0.25</v>
      </c>
      <c r="E109" s="65">
        <f>E107</f>
        <v>12944.48</v>
      </c>
      <c r="F109" s="65">
        <f t="shared" si="1"/>
        <v>3236.12</v>
      </c>
      <c r="G109" s="65">
        <f t="shared" si="2"/>
        <v>12944.48</v>
      </c>
      <c r="H109" s="65">
        <f t="shared" si="3"/>
        <v>38833.440000000002</v>
      </c>
    </row>
    <row r="110" spans="1:11" s="265" customFormat="1" ht="22" customHeight="1" x14ac:dyDescent="0.35">
      <c r="A110" s="213"/>
      <c r="B110" s="108" t="s">
        <v>410</v>
      </c>
      <c r="C110" s="214" t="s">
        <v>402</v>
      </c>
      <c r="D110" s="83">
        <v>1.65</v>
      </c>
      <c r="E110" s="65">
        <f>E109</f>
        <v>12944.48</v>
      </c>
      <c r="F110" s="65">
        <f t="shared" si="1"/>
        <v>21358.392</v>
      </c>
      <c r="G110" s="65">
        <f t="shared" si="2"/>
        <v>12944.48</v>
      </c>
      <c r="H110" s="65">
        <f t="shared" si="3"/>
        <v>256300.704</v>
      </c>
    </row>
    <row r="111" spans="1:11" s="265" customFormat="1" ht="36" customHeight="1" x14ac:dyDescent="0.35">
      <c r="A111" s="213"/>
      <c r="B111" s="108" t="s">
        <v>411</v>
      </c>
      <c r="C111" s="214" t="s">
        <v>402</v>
      </c>
      <c r="D111" s="83">
        <v>0.16</v>
      </c>
      <c r="E111" s="65">
        <f t="shared" ref="E111:E114" si="4">E110</f>
        <v>12944.48</v>
      </c>
      <c r="F111" s="65">
        <f t="shared" si="1"/>
        <v>2071.1167999999998</v>
      </c>
      <c r="G111" s="65">
        <f t="shared" si="2"/>
        <v>12944.48</v>
      </c>
      <c r="H111" s="65">
        <f t="shared" si="3"/>
        <v>24853.401599999997</v>
      </c>
    </row>
    <row r="112" spans="1:11" s="265" customFormat="1" ht="22" customHeight="1" x14ac:dyDescent="0.35">
      <c r="A112" s="213"/>
      <c r="B112" s="108" t="s">
        <v>412</v>
      </c>
      <c r="C112" s="214" t="s">
        <v>402</v>
      </c>
      <c r="D112" s="83">
        <f>1.91-0.56</f>
        <v>1.3499999999999999</v>
      </c>
      <c r="E112" s="65">
        <f t="shared" si="4"/>
        <v>12944.48</v>
      </c>
      <c r="F112" s="65">
        <f t="shared" si="1"/>
        <v>17475.047999999999</v>
      </c>
      <c r="G112" s="65">
        <f t="shared" si="2"/>
        <v>12944.48</v>
      </c>
      <c r="H112" s="65">
        <f t="shared" si="3"/>
        <v>209700.576</v>
      </c>
    </row>
    <row r="113" spans="1:13" s="265" customFormat="1" ht="34" customHeight="1" x14ac:dyDescent="0.35">
      <c r="A113" s="213"/>
      <c r="B113" s="108" t="s">
        <v>413</v>
      </c>
      <c r="C113" s="214" t="s">
        <v>402</v>
      </c>
      <c r="D113" s="83">
        <v>1.47</v>
      </c>
      <c r="E113" s="65">
        <f t="shared" si="4"/>
        <v>12944.48</v>
      </c>
      <c r="F113" s="65">
        <f t="shared" si="1"/>
        <v>19028.385599999998</v>
      </c>
      <c r="G113" s="65">
        <f t="shared" si="2"/>
        <v>12944.48</v>
      </c>
      <c r="H113" s="65">
        <f t="shared" si="3"/>
        <v>228340.62719999999</v>
      </c>
    </row>
    <row r="114" spans="1:13" s="265" customFormat="1" ht="38.5" customHeight="1" x14ac:dyDescent="0.35">
      <c r="A114" s="213"/>
      <c r="B114" s="108" t="s">
        <v>414</v>
      </c>
      <c r="C114" s="214" t="s">
        <v>402</v>
      </c>
      <c r="D114" s="83">
        <v>1.37</v>
      </c>
      <c r="E114" s="65">
        <f t="shared" si="4"/>
        <v>12944.48</v>
      </c>
      <c r="F114" s="65">
        <f t="shared" si="1"/>
        <v>17733.937600000001</v>
      </c>
      <c r="G114" s="65">
        <f t="shared" si="2"/>
        <v>12944.48</v>
      </c>
      <c r="H114" s="65">
        <f t="shared" si="3"/>
        <v>212807.2512</v>
      </c>
    </row>
    <row r="115" spans="1:13" s="268" customFormat="1" ht="22" customHeight="1" x14ac:dyDescent="0.35">
      <c r="A115" s="212"/>
      <c r="B115" s="266" t="s">
        <v>415</v>
      </c>
      <c r="C115" s="215" t="s">
        <v>402</v>
      </c>
      <c r="D115" s="269">
        <f>SUM(D116:D124)</f>
        <v>6.61</v>
      </c>
      <c r="E115" s="216">
        <f>E108</f>
        <v>12944.48</v>
      </c>
      <c r="F115" s="216">
        <f t="shared" si="1"/>
        <v>85563.012799999997</v>
      </c>
      <c r="G115" s="216">
        <f t="shared" si="2"/>
        <v>12944.48</v>
      </c>
      <c r="H115" s="216">
        <f t="shared" si="3"/>
        <v>1026756.1536</v>
      </c>
      <c r="K115" s="270">
        <f>H115</f>
        <v>1026756.1536</v>
      </c>
    </row>
    <row r="116" spans="1:13" s="265" customFormat="1" ht="31" customHeight="1" x14ac:dyDescent="0.35">
      <c r="A116" s="212" t="s">
        <v>450</v>
      </c>
      <c r="B116" s="108" t="s">
        <v>416</v>
      </c>
      <c r="C116" s="215" t="s">
        <v>402</v>
      </c>
      <c r="D116" s="83">
        <v>0.55000000000000004</v>
      </c>
      <c r="E116" s="65">
        <f>E114</f>
        <v>12944.48</v>
      </c>
      <c r="F116" s="65">
        <f t="shared" si="1"/>
        <v>7119.4639999999999</v>
      </c>
      <c r="G116" s="65">
        <f t="shared" si="2"/>
        <v>12944.48</v>
      </c>
      <c r="H116" s="65">
        <f t="shared" si="3"/>
        <v>85433.567999999999</v>
      </c>
    </row>
    <row r="117" spans="1:13" s="265" customFormat="1" ht="37" customHeight="1" x14ac:dyDescent="0.35">
      <c r="A117" s="213"/>
      <c r="B117" s="108" t="s">
        <v>417</v>
      </c>
      <c r="C117" s="214" t="s">
        <v>402</v>
      </c>
      <c r="D117" s="83">
        <f>1.2+0.55</f>
        <v>1.75</v>
      </c>
      <c r="E117" s="65">
        <f>E114</f>
        <v>12944.48</v>
      </c>
      <c r="F117" s="65">
        <f t="shared" si="1"/>
        <v>22652.84</v>
      </c>
      <c r="G117" s="65">
        <f t="shared" si="2"/>
        <v>12944.48</v>
      </c>
      <c r="H117" s="65">
        <f t="shared" si="3"/>
        <v>271834.08</v>
      </c>
    </row>
    <row r="118" spans="1:13" s="265" customFormat="1" ht="22" customHeight="1" x14ac:dyDescent="0.35">
      <c r="A118" s="213"/>
      <c r="B118" s="108" t="s">
        <v>418</v>
      </c>
      <c r="C118" s="214" t="s">
        <v>402</v>
      </c>
      <c r="D118" s="271">
        <v>3.74</v>
      </c>
      <c r="E118" s="65">
        <f t="shared" ref="E118:E124" si="5">E117</f>
        <v>12944.48</v>
      </c>
      <c r="F118" s="65">
        <f t="shared" si="1"/>
        <v>48412.355199999998</v>
      </c>
      <c r="G118" s="65">
        <f t="shared" si="2"/>
        <v>12944.48</v>
      </c>
      <c r="H118" s="65">
        <f t="shared" si="3"/>
        <v>580948.26240000001</v>
      </c>
    </row>
    <row r="119" spans="1:13" s="265" customFormat="1" ht="38.5" hidden="1" customHeight="1" x14ac:dyDescent="0.35">
      <c r="A119" s="213"/>
      <c r="B119" s="108" t="s">
        <v>419</v>
      </c>
      <c r="C119" s="214" t="s">
        <v>402</v>
      </c>
      <c r="D119" s="83">
        <f>0.06+0.01</f>
        <v>6.9999999999999993E-2</v>
      </c>
      <c r="E119" s="65">
        <f t="shared" si="5"/>
        <v>12944.48</v>
      </c>
      <c r="F119" s="65">
        <f t="shared" si="1"/>
        <v>906.11359999999991</v>
      </c>
      <c r="G119" s="65">
        <f t="shared" si="2"/>
        <v>12944.48</v>
      </c>
      <c r="H119" s="65">
        <f t="shared" si="3"/>
        <v>10873.3632</v>
      </c>
    </row>
    <row r="120" spans="1:13" s="265" customFormat="1" ht="22" hidden="1" customHeight="1" x14ac:dyDescent="0.35">
      <c r="A120" s="213"/>
      <c r="B120" s="108" t="s">
        <v>420</v>
      </c>
      <c r="C120" s="214" t="s">
        <v>402</v>
      </c>
      <c r="D120" s="83"/>
      <c r="E120" s="65">
        <f t="shared" si="5"/>
        <v>12944.48</v>
      </c>
      <c r="F120" s="65">
        <f t="shared" si="1"/>
        <v>0</v>
      </c>
      <c r="G120" s="65">
        <f t="shared" si="2"/>
        <v>12944.48</v>
      </c>
      <c r="H120" s="65">
        <f t="shared" si="3"/>
        <v>0</v>
      </c>
    </row>
    <row r="121" spans="1:13" s="265" customFormat="1" ht="22" hidden="1" customHeight="1" x14ac:dyDescent="0.35">
      <c r="A121" s="213"/>
      <c r="B121" s="108" t="s">
        <v>421</v>
      </c>
      <c r="C121" s="214"/>
      <c r="D121" s="83">
        <v>0.04</v>
      </c>
      <c r="E121" s="65">
        <f t="shared" si="5"/>
        <v>12944.48</v>
      </c>
      <c r="F121" s="65">
        <f t="shared" si="1"/>
        <v>517.77919999999995</v>
      </c>
      <c r="G121" s="65">
        <f t="shared" si="2"/>
        <v>12944.48</v>
      </c>
      <c r="H121" s="65">
        <f t="shared" si="3"/>
        <v>6213.3503999999994</v>
      </c>
    </row>
    <row r="122" spans="1:13" s="265" customFormat="1" ht="24" customHeight="1" x14ac:dyDescent="0.35">
      <c r="A122" s="213"/>
      <c r="B122" s="108" t="s">
        <v>422</v>
      </c>
      <c r="C122" s="214" t="s">
        <v>402</v>
      </c>
      <c r="D122" s="83">
        <v>0.05</v>
      </c>
      <c r="E122" s="65">
        <f t="shared" si="5"/>
        <v>12944.48</v>
      </c>
      <c r="F122" s="65">
        <f t="shared" si="1"/>
        <v>647.22400000000005</v>
      </c>
      <c r="G122" s="65">
        <f t="shared" si="2"/>
        <v>12944.48</v>
      </c>
      <c r="H122" s="65">
        <f t="shared" si="3"/>
        <v>7766.6880000000001</v>
      </c>
    </row>
    <row r="123" spans="1:13" s="265" customFormat="1" ht="15.5" customHeight="1" x14ac:dyDescent="0.35">
      <c r="A123" s="212" t="s">
        <v>449</v>
      </c>
      <c r="B123" s="108" t="s">
        <v>423</v>
      </c>
      <c r="C123" s="215" t="s">
        <v>402</v>
      </c>
      <c r="D123" s="83">
        <v>0.36</v>
      </c>
      <c r="E123" s="65">
        <f>E122</f>
        <v>12944.48</v>
      </c>
      <c r="F123" s="65">
        <f t="shared" si="1"/>
        <v>4660.0127999999995</v>
      </c>
      <c r="G123" s="65">
        <f t="shared" si="2"/>
        <v>12944.48</v>
      </c>
      <c r="H123" s="65">
        <f t="shared" si="3"/>
        <v>55920.153599999991</v>
      </c>
    </row>
    <row r="124" spans="1:13" s="265" customFormat="1" ht="51" customHeight="1" x14ac:dyDescent="0.35">
      <c r="A124" s="272"/>
      <c r="B124" s="108" t="s">
        <v>305</v>
      </c>
      <c r="C124" s="215" t="s">
        <v>402</v>
      </c>
      <c r="D124" s="83">
        <v>0.05</v>
      </c>
      <c r="E124" s="65">
        <f t="shared" si="5"/>
        <v>12944.48</v>
      </c>
      <c r="F124" s="65">
        <f t="shared" si="1"/>
        <v>647.22400000000005</v>
      </c>
      <c r="G124" s="65">
        <f t="shared" si="2"/>
        <v>12944.48</v>
      </c>
      <c r="H124" s="65">
        <f t="shared" si="3"/>
        <v>7766.6880000000001</v>
      </c>
    </row>
    <row r="125" spans="1:13" s="268" customFormat="1" ht="48" x14ac:dyDescent="0.35">
      <c r="A125" s="273"/>
      <c r="B125" s="266" t="s">
        <v>424</v>
      </c>
      <c r="C125" s="215" t="s">
        <v>402</v>
      </c>
      <c r="D125" s="267">
        <f>D126+D127</f>
        <v>2.12</v>
      </c>
      <c r="E125" s="216">
        <f>E124</f>
        <v>12944.48</v>
      </c>
      <c r="F125" s="216">
        <f t="shared" si="1"/>
        <v>27442.297600000002</v>
      </c>
      <c r="G125" s="216">
        <f t="shared" si="2"/>
        <v>12944.48</v>
      </c>
      <c r="H125" s="216">
        <f t="shared" si="3"/>
        <v>329307.57120000001</v>
      </c>
      <c r="K125" s="270">
        <f>H125</f>
        <v>329307.57120000001</v>
      </c>
      <c r="M125" s="270">
        <f>K125+K115+K108</f>
        <v>2326899.7248</v>
      </c>
    </row>
    <row r="126" spans="1:13" s="265" customFormat="1" ht="108" x14ac:dyDescent="0.35">
      <c r="A126" s="272"/>
      <c r="B126" s="108" t="s">
        <v>425</v>
      </c>
      <c r="C126" s="215" t="s">
        <v>402</v>
      </c>
      <c r="D126" s="211">
        <f>2.16-0.55</f>
        <v>1.61</v>
      </c>
      <c r="E126" s="65">
        <f>E124</f>
        <v>12944.48</v>
      </c>
      <c r="F126" s="65">
        <f t="shared" si="1"/>
        <v>20840.612799999999</v>
      </c>
      <c r="G126" s="65">
        <f t="shared" si="2"/>
        <v>12944.48</v>
      </c>
      <c r="H126" s="65">
        <f t="shared" si="3"/>
        <v>250087.35359999997</v>
      </c>
    </row>
    <row r="127" spans="1:13" s="265" customFormat="1" ht="72" customHeight="1" x14ac:dyDescent="0.35">
      <c r="A127" s="272"/>
      <c r="B127" s="108" t="s">
        <v>426</v>
      </c>
      <c r="C127" s="215" t="s">
        <v>402</v>
      </c>
      <c r="D127" s="211">
        <v>0.51</v>
      </c>
      <c r="E127" s="65">
        <f>E126</f>
        <v>12944.48</v>
      </c>
      <c r="F127" s="65">
        <f t="shared" si="1"/>
        <v>6601.6848</v>
      </c>
      <c r="G127" s="65">
        <f t="shared" si="2"/>
        <v>12944.48</v>
      </c>
      <c r="H127" s="65">
        <f t="shared" si="3"/>
        <v>79220.217600000004</v>
      </c>
    </row>
    <row r="128" spans="1:13" s="265" customFormat="1" ht="24" x14ac:dyDescent="0.35">
      <c r="A128" s="272"/>
      <c r="B128" s="266" t="s">
        <v>265</v>
      </c>
      <c r="C128" s="215" t="s">
        <v>402</v>
      </c>
      <c r="D128" s="267">
        <f>2.39+3.18</f>
        <v>5.57</v>
      </c>
      <c r="E128" s="216">
        <f>E125</f>
        <v>12944.48</v>
      </c>
      <c r="F128" s="216">
        <f t="shared" si="1"/>
        <v>72100.753599999996</v>
      </c>
      <c r="G128" s="216">
        <f t="shared" si="2"/>
        <v>12944.48</v>
      </c>
      <c r="H128" s="216">
        <f t="shared" si="3"/>
        <v>865209.04319999996</v>
      </c>
    </row>
    <row r="129" spans="1:14" s="265" customFormat="1" x14ac:dyDescent="0.35">
      <c r="A129" s="272"/>
      <c r="B129" s="266" t="s">
        <v>427</v>
      </c>
      <c r="C129" s="215" t="s">
        <v>402</v>
      </c>
      <c r="D129" s="269">
        <v>4.47</v>
      </c>
      <c r="E129" s="216">
        <f>E128</f>
        <v>12944.48</v>
      </c>
      <c r="F129" s="216">
        <f t="shared" si="1"/>
        <v>57861.825599999996</v>
      </c>
      <c r="G129" s="216">
        <f t="shared" si="2"/>
        <v>12944.48</v>
      </c>
      <c r="H129" s="216">
        <f t="shared" si="3"/>
        <v>694341.90720000002</v>
      </c>
    </row>
    <row r="130" spans="1:14" s="265" customFormat="1" x14ac:dyDescent="0.35">
      <c r="A130" s="272"/>
      <c r="B130" s="266" t="s">
        <v>428</v>
      </c>
      <c r="C130" s="215" t="s">
        <v>402</v>
      </c>
      <c r="D130" s="267">
        <f>D129+D128+D125+D115+D108+D101</f>
        <v>25.550518</v>
      </c>
      <c r="E130" s="216">
        <f>E129</f>
        <v>12944.48</v>
      </c>
      <c r="F130" s="216">
        <f t="shared" si="1"/>
        <v>330738.16924064001</v>
      </c>
      <c r="G130" s="216">
        <f t="shared" si="2"/>
        <v>12944.48</v>
      </c>
      <c r="H130" s="216">
        <f t="shared" si="3"/>
        <v>3968858.0308876801</v>
      </c>
    </row>
    <row r="131" spans="1:14" x14ac:dyDescent="0.35">
      <c r="A131" s="102" t="s">
        <v>0</v>
      </c>
      <c r="B131" s="330" t="s">
        <v>2</v>
      </c>
      <c r="C131" s="330" t="s">
        <v>3</v>
      </c>
      <c r="D131" s="316" t="s">
        <v>4</v>
      </c>
      <c r="E131" s="316"/>
      <c r="F131" s="316"/>
      <c r="G131" s="316"/>
      <c r="H131" s="316"/>
    </row>
    <row r="132" spans="1:14" x14ac:dyDescent="0.35">
      <c r="A132" s="285" t="s">
        <v>1</v>
      </c>
      <c r="B132" s="330"/>
      <c r="C132" s="330"/>
      <c r="D132" s="316"/>
      <c r="E132" s="316"/>
      <c r="F132" s="316"/>
      <c r="G132" s="316"/>
      <c r="H132" s="316"/>
    </row>
    <row r="133" spans="1:14" ht="24.5" customHeight="1" x14ac:dyDescent="0.35">
      <c r="A133" s="291">
        <v>1</v>
      </c>
      <c r="B133" s="296" t="s">
        <v>302</v>
      </c>
      <c r="C133" s="291" t="s">
        <v>298</v>
      </c>
      <c r="D133" s="311">
        <v>4.47</v>
      </c>
      <c r="E133" s="311"/>
      <c r="F133" s="311"/>
      <c r="G133" s="311"/>
      <c r="H133" s="311"/>
      <c r="K133" s="57">
        <v>13438.42</v>
      </c>
      <c r="M133" s="57">
        <f>K133*D133</f>
        <v>60069.737399999998</v>
      </c>
      <c r="N133" s="57">
        <f>M133*12</f>
        <v>720836.84880000004</v>
      </c>
    </row>
    <row r="134" spans="1:14" x14ac:dyDescent="0.35">
      <c r="A134" s="291">
        <v>2</v>
      </c>
      <c r="B134" s="292" t="s">
        <v>430</v>
      </c>
      <c r="C134" s="291" t="s">
        <v>143</v>
      </c>
      <c r="D134" s="311">
        <f>[20]Лист_1!$AT$411</f>
        <v>683624.8629863013</v>
      </c>
      <c r="E134" s="311"/>
      <c r="F134" s="311"/>
      <c r="G134" s="311"/>
      <c r="H134" s="311"/>
    </row>
    <row r="135" spans="1:14" x14ac:dyDescent="0.35">
      <c r="A135" s="291">
        <v>3</v>
      </c>
      <c r="B135" s="292" t="s">
        <v>258</v>
      </c>
      <c r="C135" s="291" t="s">
        <v>7</v>
      </c>
      <c r="D135" s="311" t="s">
        <v>304</v>
      </c>
      <c r="E135" s="311"/>
      <c r="F135" s="311"/>
      <c r="G135" s="311"/>
      <c r="H135" s="311"/>
    </row>
    <row r="136" spans="1:14" x14ac:dyDescent="0.35">
      <c r="A136" s="291">
        <v>4</v>
      </c>
      <c r="B136" s="295" t="s">
        <v>350</v>
      </c>
      <c r="C136" s="291"/>
      <c r="D136" s="311">
        <f>'[4]К. Беляева 40Г'!$D$91</f>
        <v>972944.08899999969</v>
      </c>
      <c r="E136" s="311"/>
      <c r="F136" s="311"/>
      <c r="G136" s="311"/>
      <c r="H136" s="311"/>
    </row>
    <row r="137" spans="1:14" x14ac:dyDescent="0.35">
      <c r="A137" s="291">
        <v>5</v>
      </c>
      <c r="B137" s="295" t="s">
        <v>500</v>
      </c>
      <c r="C137" s="291"/>
      <c r="D137" s="311">
        <f>'[4]К. Беляева 40Г'!$D$92</f>
        <v>141904.86216242681</v>
      </c>
      <c r="E137" s="311"/>
      <c r="F137" s="311"/>
      <c r="G137" s="311"/>
      <c r="H137" s="311"/>
    </row>
    <row r="138" spans="1:14" x14ac:dyDescent="0.35">
      <c r="A138" s="291">
        <v>6</v>
      </c>
      <c r="B138" s="292" t="s">
        <v>148</v>
      </c>
      <c r="C138" s="291" t="s">
        <v>7</v>
      </c>
      <c r="D138" s="311" t="s">
        <v>273</v>
      </c>
      <c r="E138" s="311"/>
      <c r="F138" s="311"/>
      <c r="G138" s="311"/>
      <c r="H138" s="311"/>
    </row>
    <row r="139" spans="1:14" ht="15.5" hidden="1" customHeight="1" x14ac:dyDescent="0.35">
      <c r="A139" s="102" t="s">
        <v>0</v>
      </c>
      <c r="B139" s="330" t="s">
        <v>2</v>
      </c>
      <c r="C139" s="330" t="s">
        <v>3</v>
      </c>
      <c r="D139" s="311" t="s">
        <v>4</v>
      </c>
      <c r="E139" s="311"/>
      <c r="F139" s="311"/>
      <c r="G139" s="311"/>
      <c r="H139" s="311"/>
    </row>
    <row r="140" spans="1:14" ht="15.5" hidden="1" customHeight="1" x14ac:dyDescent="0.35">
      <c r="A140" s="285" t="s">
        <v>1</v>
      </c>
      <c r="B140" s="330"/>
      <c r="C140" s="330"/>
      <c r="D140" s="311"/>
      <c r="E140" s="311"/>
      <c r="F140" s="311"/>
      <c r="G140" s="311"/>
      <c r="H140" s="311"/>
    </row>
    <row r="141" spans="1:14" ht="41" hidden="1" customHeight="1" x14ac:dyDescent="0.35">
      <c r="A141" s="291">
        <v>1</v>
      </c>
      <c r="B141" s="296" t="s">
        <v>265</v>
      </c>
      <c r="C141" s="291" t="s">
        <v>7</v>
      </c>
      <c r="D141" s="311">
        <f>[2]КБ40Б!$B$31</f>
        <v>5.0200000000000005</v>
      </c>
      <c r="E141" s="311">
        <f>D141</f>
        <v>5.0200000000000005</v>
      </c>
      <c r="F141" s="311"/>
      <c r="G141" s="311"/>
      <c r="H141" s="311"/>
      <c r="K141" s="57">
        <v>13438.42</v>
      </c>
      <c r="M141" s="57">
        <f>K141*D141</f>
        <v>67460.868400000007</v>
      </c>
      <c r="N141" s="57">
        <f>M141*12</f>
        <v>809530.42080000008</v>
      </c>
    </row>
    <row r="142" spans="1:14" ht="16" hidden="1" customHeight="1" x14ac:dyDescent="0.35">
      <c r="A142" s="291">
        <v>2</v>
      </c>
      <c r="B142" s="292" t="s">
        <v>142</v>
      </c>
      <c r="C142" s="291" t="s">
        <v>143</v>
      </c>
      <c r="D142" s="311">
        <f>[2]КБ40Б!$G$31</f>
        <v>851464.09659744019</v>
      </c>
      <c r="E142" s="311"/>
      <c r="F142" s="311">
        <f>D142</f>
        <v>851464.09659744019</v>
      </c>
      <c r="G142" s="311"/>
      <c r="H142" s="311"/>
    </row>
    <row r="143" spans="1:14" ht="39" hidden="1" customHeight="1" x14ac:dyDescent="0.35">
      <c r="A143" s="291">
        <v>3</v>
      </c>
      <c r="B143" s="292" t="s">
        <v>258</v>
      </c>
      <c r="C143" s="291" t="s">
        <v>7</v>
      </c>
      <c r="D143" s="311" t="s">
        <v>324</v>
      </c>
      <c r="E143" s="311">
        <f>SUM(E62:E142)</f>
        <v>388339.41999999993</v>
      </c>
      <c r="F143" s="311">
        <f>SUM(F62:F142)</f>
        <v>1713716.0251193601</v>
      </c>
      <c r="G143" s="311"/>
      <c r="H143" s="311"/>
    </row>
    <row r="144" spans="1:14" ht="16" hidden="1" customHeight="1" x14ac:dyDescent="0.35">
      <c r="A144" s="291">
        <v>4</v>
      </c>
      <c r="B144" s="292" t="s">
        <v>148</v>
      </c>
      <c r="C144" s="291" t="s">
        <v>7</v>
      </c>
      <c r="D144" s="311" t="s">
        <v>155</v>
      </c>
      <c r="E144" s="311"/>
      <c r="F144" s="311"/>
      <c r="G144" s="311"/>
      <c r="H144" s="311"/>
    </row>
    <row r="145" spans="1:15" x14ac:dyDescent="0.35">
      <c r="A145" s="102" t="s">
        <v>0</v>
      </c>
      <c r="B145" s="330" t="s">
        <v>2</v>
      </c>
      <c r="C145" s="330" t="s">
        <v>3</v>
      </c>
      <c r="D145" s="311" t="s">
        <v>4</v>
      </c>
      <c r="E145" s="311"/>
      <c r="F145" s="311"/>
      <c r="G145" s="311"/>
      <c r="H145" s="311"/>
    </row>
    <row r="146" spans="1:15" x14ac:dyDescent="0.35">
      <c r="A146" s="285" t="s">
        <v>1</v>
      </c>
      <c r="B146" s="330"/>
      <c r="C146" s="330"/>
      <c r="D146" s="311"/>
      <c r="E146" s="311"/>
      <c r="F146" s="311"/>
      <c r="G146" s="311"/>
      <c r="H146" s="311"/>
    </row>
    <row r="147" spans="1:15" ht="19.5" customHeight="1" x14ac:dyDescent="0.35">
      <c r="A147" s="291">
        <v>1</v>
      </c>
      <c r="B147" s="296" t="s">
        <v>271</v>
      </c>
      <c r="C147" s="291" t="s">
        <v>7</v>
      </c>
      <c r="D147" s="311">
        <v>12.26</v>
      </c>
      <c r="E147" s="311"/>
      <c r="F147" s="311"/>
      <c r="G147" s="311"/>
      <c r="H147" s="311"/>
      <c r="K147" s="57">
        <v>13438.42</v>
      </c>
      <c r="M147" s="57">
        <f>K147*D147</f>
        <v>164755.02919999999</v>
      </c>
      <c r="N147" s="57">
        <f>M147*12</f>
        <v>1977060.3503999999</v>
      </c>
    </row>
    <row r="148" spans="1:15" x14ac:dyDescent="0.35">
      <c r="A148" s="291">
        <v>2</v>
      </c>
      <c r="B148" s="292" t="s">
        <v>142</v>
      </c>
      <c r="C148" s="291" t="s">
        <v>143</v>
      </c>
      <c r="D148" s="310">
        <f>[20]Лист_1!$O$408</f>
        <v>2062199.9</v>
      </c>
      <c r="E148" s="311"/>
      <c r="F148" s="311"/>
      <c r="G148" s="311"/>
      <c r="H148" s="311"/>
      <c r="N148" s="57">
        <v>1988010.53</v>
      </c>
      <c r="O148" s="57" t="s">
        <v>325</v>
      </c>
    </row>
    <row r="149" spans="1:15" x14ac:dyDescent="0.35">
      <c r="A149" s="291">
        <v>3</v>
      </c>
      <c r="B149" s="292" t="s">
        <v>258</v>
      </c>
      <c r="C149" s="291" t="s">
        <v>7</v>
      </c>
      <c r="D149" s="311" t="s">
        <v>352</v>
      </c>
      <c r="E149" s="311"/>
      <c r="F149" s="311"/>
      <c r="G149" s="311"/>
      <c r="H149" s="311"/>
      <c r="N149" s="57">
        <f>N148-N147</f>
        <v>10950.179600000149</v>
      </c>
    </row>
    <row r="150" spans="1:15" x14ac:dyDescent="0.35">
      <c r="A150" s="291">
        <v>4</v>
      </c>
      <c r="B150" s="292" t="s">
        <v>148</v>
      </c>
      <c r="C150" s="291" t="s">
        <v>7</v>
      </c>
      <c r="D150" s="311" t="s">
        <v>155</v>
      </c>
      <c r="E150" s="311"/>
      <c r="F150" s="311"/>
      <c r="G150" s="311"/>
      <c r="H150" s="311"/>
    </row>
    <row r="151" spans="1:15" hidden="1" x14ac:dyDescent="0.35">
      <c r="A151" s="102" t="s">
        <v>0</v>
      </c>
      <c r="B151" s="330" t="s">
        <v>2</v>
      </c>
      <c r="C151" s="330" t="s">
        <v>3</v>
      </c>
      <c r="D151" s="311" t="s">
        <v>4</v>
      </c>
      <c r="E151" s="311"/>
      <c r="F151" s="311"/>
      <c r="G151" s="311"/>
      <c r="H151" s="311"/>
    </row>
    <row r="152" spans="1:15" hidden="1" x14ac:dyDescent="0.35">
      <c r="A152" s="285" t="s">
        <v>1</v>
      </c>
      <c r="B152" s="330"/>
      <c r="C152" s="330"/>
      <c r="D152" s="311"/>
      <c r="E152" s="311"/>
      <c r="F152" s="311"/>
      <c r="G152" s="311"/>
      <c r="H152" s="311"/>
    </row>
    <row r="153" spans="1:15" ht="38" hidden="1" customHeight="1" x14ac:dyDescent="0.35">
      <c r="A153" s="291">
        <v>1</v>
      </c>
      <c r="B153" s="296" t="str">
        <f>[5]Лист_1!$N$7</f>
        <v>Доп.усл.по оформл.платеж.док-в на опл. взнос. на кап.ремонт</v>
      </c>
      <c r="C153" s="291" t="s">
        <v>297</v>
      </c>
      <c r="D153" s="311">
        <v>6</v>
      </c>
      <c r="E153" s="311"/>
      <c r="F153" s="311"/>
      <c r="G153" s="311"/>
      <c r="H153" s="311"/>
      <c r="K153" s="57">
        <f>D153*192</f>
        <v>1152</v>
      </c>
      <c r="L153" s="57">
        <f>K153*12</f>
        <v>13824</v>
      </c>
    </row>
    <row r="154" spans="1:15" hidden="1" x14ac:dyDescent="0.35">
      <c r="A154" s="291">
        <v>2</v>
      </c>
      <c r="B154" s="292" t="s">
        <v>142</v>
      </c>
      <c r="C154" s="291" t="s">
        <v>143</v>
      </c>
      <c r="D154" s="310">
        <f>[13]Лист_1!$AP$404</f>
        <v>135418.95000000001</v>
      </c>
      <c r="E154" s="311"/>
      <c r="F154" s="311"/>
      <c r="G154" s="311"/>
      <c r="H154" s="311"/>
    </row>
    <row r="155" spans="1:15" hidden="1" x14ac:dyDescent="0.35">
      <c r="A155" s="291">
        <v>3</v>
      </c>
      <c r="B155" s="292" t="s">
        <v>258</v>
      </c>
      <c r="C155" s="291" t="s">
        <v>7</v>
      </c>
      <c r="D155" s="311" t="s">
        <v>272</v>
      </c>
      <c r="E155" s="311"/>
      <c r="F155" s="311"/>
      <c r="G155" s="311"/>
      <c r="H155" s="311"/>
    </row>
    <row r="156" spans="1:15" hidden="1" x14ac:dyDescent="0.35">
      <c r="A156" s="291">
        <v>4</v>
      </c>
      <c r="B156" s="292" t="s">
        <v>148</v>
      </c>
      <c r="C156" s="291" t="s">
        <v>7</v>
      </c>
      <c r="D156" s="311" t="s">
        <v>155</v>
      </c>
      <c r="E156" s="311"/>
      <c r="F156" s="311"/>
      <c r="G156" s="311"/>
      <c r="H156" s="311"/>
    </row>
    <row r="157" spans="1:15" hidden="1" x14ac:dyDescent="0.35">
      <c r="A157" s="102" t="s">
        <v>0</v>
      </c>
      <c r="B157" s="330" t="s">
        <v>2</v>
      </c>
      <c r="C157" s="330" t="s">
        <v>3</v>
      </c>
      <c r="D157" s="311" t="s">
        <v>4</v>
      </c>
      <c r="E157" s="311"/>
      <c r="F157" s="311"/>
      <c r="G157" s="311"/>
      <c r="H157" s="311"/>
    </row>
    <row r="158" spans="1:15" hidden="1" x14ac:dyDescent="0.35">
      <c r="A158" s="285" t="s">
        <v>1</v>
      </c>
      <c r="B158" s="330"/>
      <c r="C158" s="330"/>
      <c r="D158" s="311"/>
      <c r="E158" s="311"/>
      <c r="F158" s="311"/>
      <c r="G158" s="311"/>
      <c r="H158" s="311"/>
    </row>
    <row r="159" spans="1:15" x14ac:dyDescent="0.35">
      <c r="A159" s="102" t="s">
        <v>0</v>
      </c>
      <c r="B159" s="330" t="s">
        <v>2</v>
      </c>
      <c r="C159" s="330" t="s">
        <v>3</v>
      </c>
      <c r="D159" s="311" t="s">
        <v>4</v>
      </c>
      <c r="E159" s="311"/>
      <c r="F159" s="311"/>
      <c r="G159" s="311"/>
      <c r="H159" s="311"/>
    </row>
    <row r="160" spans="1:15" x14ac:dyDescent="0.35">
      <c r="A160" s="285" t="s">
        <v>1</v>
      </c>
      <c r="B160" s="330"/>
      <c r="C160" s="330"/>
      <c r="D160" s="311"/>
      <c r="E160" s="311"/>
      <c r="F160" s="311"/>
      <c r="G160" s="311"/>
      <c r="H160" s="311"/>
    </row>
    <row r="161" spans="1:16" ht="38" customHeight="1" x14ac:dyDescent="0.35">
      <c r="A161" s="291">
        <v>1</v>
      </c>
      <c r="B161" s="296" t="str">
        <f>[5]Лист_1!$U$7</f>
        <v>Сод. тер. транспорта</v>
      </c>
      <c r="C161" s="291" t="s">
        <v>298</v>
      </c>
      <c r="D161" s="311">
        <v>900</v>
      </c>
      <c r="E161" s="311"/>
      <c r="F161" s="311"/>
      <c r="G161" s="311"/>
      <c r="H161" s="311"/>
      <c r="J161" s="57" t="e">
        <f>0.55*#REF!</f>
        <v>#REF!</v>
      </c>
      <c r="K161" s="57" t="e">
        <f>J161*12</f>
        <v>#REF!</v>
      </c>
    </row>
    <row r="162" spans="1:16" x14ac:dyDescent="0.35">
      <c r="A162" s="291">
        <v>2</v>
      </c>
      <c r="B162" s="292" t="s">
        <v>142</v>
      </c>
      <c r="C162" s="291" t="s">
        <v>143</v>
      </c>
      <c r="D162" s="310">
        <f>[20]Лист_1!$T$408</f>
        <v>651824.52</v>
      </c>
      <c r="E162" s="311"/>
      <c r="F162" s="311"/>
      <c r="G162" s="311"/>
      <c r="H162" s="311"/>
      <c r="K162" s="57">
        <f>D161*50*12</f>
        <v>540000</v>
      </c>
      <c r="L162" s="57">
        <f>K162/900</f>
        <v>600</v>
      </c>
      <c r="N162" s="58">
        <f>[3]Лист_1!$S$400</f>
        <v>542700</v>
      </c>
      <c r="O162" s="57">
        <f>N162/12</f>
        <v>45225</v>
      </c>
      <c r="P162" s="57">
        <f>O162/900</f>
        <v>50.25</v>
      </c>
    </row>
    <row r="163" spans="1:16" x14ac:dyDescent="0.35">
      <c r="A163" s="291">
        <v>3</v>
      </c>
      <c r="B163" s="292" t="s">
        <v>258</v>
      </c>
      <c r="C163" s="291" t="s">
        <v>7</v>
      </c>
      <c r="D163" s="311" t="s">
        <v>326</v>
      </c>
      <c r="E163" s="311"/>
      <c r="F163" s="311"/>
      <c r="G163" s="311"/>
      <c r="H163" s="311"/>
    </row>
    <row r="164" spans="1:16" x14ac:dyDescent="0.35">
      <c r="A164" s="291">
        <v>4</v>
      </c>
      <c r="B164" s="292" t="s">
        <v>377</v>
      </c>
      <c r="C164" s="291" t="str">
        <f>C162</f>
        <v>Руб.</v>
      </c>
      <c r="D164" s="310">
        <f>'[6]факт 2025г'!$M$20</f>
        <v>836974.85017570097</v>
      </c>
      <c r="E164" s="311"/>
      <c r="F164" s="311"/>
      <c r="G164" s="311"/>
      <c r="H164" s="311"/>
      <c r="J164" s="57" t="s">
        <v>379</v>
      </c>
    </row>
    <row r="165" spans="1:16" x14ac:dyDescent="0.35">
      <c r="A165" s="291">
        <v>6</v>
      </c>
      <c r="B165" s="292" t="s">
        <v>148</v>
      </c>
      <c r="C165" s="291" t="s">
        <v>7</v>
      </c>
      <c r="D165" s="311" t="s">
        <v>378</v>
      </c>
      <c r="E165" s="311"/>
      <c r="F165" s="311"/>
      <c r="G165" s="311"/>
      <c r="H165" s="311"/>
    </row>
    <row r="166" spans="1:16" x14ac:dyDescent="0.35">
      <c r="A166" s="385" t="s">
        <v>266</v>
      </c>
      <c r="B166" s="386"/>
      <c r="C166" s="386"/>
      <c r="D166" s="386"/>
      <c r="E166" s="386"/>
      <c r="F166" s="386"/>
      <c r="G166" s="386"/>
      <c r="H166" s="387"/>
    </row>
    <row r="167" spans="1:16" x14ac:dyDescent="0.35">
      <c r="A167" s="102" t="s">
        <v>0</v>
      </c>
      <c r="B167" s="285" t="s">
        <v>2</v>
      </c>
      <c r="C167" s="285" t="s">
        <v>3</v>
      </c>
      <c r="D167" s="311" t="s">
        <v>4</v>
      </c>
      <c r="E167" s="311"/>
      <c r="F167" s="311"/>
      <c r="G167" s="311"/>
      <c r="H167" s="311"/>
    </row>
    <row r="168" spans="1:16" x14ac:dyDescent="0.35">
      <c r="A168" s="285" t="s">
        <v>1</v>
      </c>
      <c r="B168" s="129"/>
      <c r="C168" s="129"/>
      <c r="D168" s="311"/>
      <c r="E168" s="311"/>
      <c r="F168" s="311"/>
      <c r="G168" s="311"/>
      <c r="H168" s="311"/>
    </row>
    <row r="169" spans="1:16" x14ac:dyDescent="0.35">
      <c r="A169" s="291">
        <v>1</v>
      </c>
      <c r="B169" s="292" t="s">
        <v>268</v>
      </c>
      <c r="C169" s="130" t="s">
        <v>7</v>
      </c>
      <c r="D169" s="311" t="s">
        <v>370</v>
      </c>
      <c r="E169" s="311"/>
      <c r="F169" s="311"/>
      <c r="G169" s="311"/>
      <c r="H169" s="311"/>
    </row>
    <row r="170" spans="1:16" x14ac:dyDescent="0.35">
      <c r="A170" s="291">
        <v>2</v>
      </c>
      <c r="B170" s="292" t="s">
        <v>106</v>
      </c>
      <c r="C170" s="130" t="s">
        <v>7</v>
      </c>
      <c r="D170" s="311" t="s">
        <v>107</v>
      </c>
      <c r="E170" s="311"/>
      <c r="F170" s="311"/>
      <c r="G170" s="311"/>
      <c r="H170" s="311"/>
    </row>
    <row r="171" spans="1:16" ht="28" customHeight="1" x14ac:dyDescent="0.35">
      <c r="A171" s="291">
        <v>3</v>
      </c>
      <c r="B171" s="292" t="s">
        <v>365</v>
      </c>
      <c r="C171" s="130" t="s">
        <v>141</v>
      </c>
      <c r="D171" s="311" t="s">
        <v>371</v>
      </c>
      <c r="E171" s="311"/>
      <c r="F171" s="311"/>
      <c r="G171" s="311"/>
      <c r="H171" s="311"/>
    </row>
    <row r="172" spans="1:16" x14ac:dyDescent="0.35">
      <c r="A172" s="291">
        <v>4</v>
      </c>
      <c r="B172" s="292" t="s">
        <v>173</v>
      </c>
      <c r="C172" s="130" t="s">
        <v>7</v>
      </c>
      <c r="D172" s="311" t="s">
        <v>317</v>
      </c>
      <c r="E172" s="311"/>
      <c r="F172" s="311"/>
      <c r="G172" s="311"/>
      <c r="H172" s="311"/>
    </row>
    <row r="173" spans="1:16" ht="25" x14ac:dyDescent="0.35">
      <c r="A173" s="291">
        <v>5</v>
      </c>
      <c r="B173" s="292" t="s">
        <v>175</v>
      </c>
      <c r="C173" s="130" t="s">
        <v>7</v>
      </c>
      <c r="D173" s="311" t="s">
        <v>314</v>
      </c>
      <c r="E173" s="311"/>
      <c r="F173" s="311"/>
      <c r="G173" s="311"/>
      <c r="H173" s="311"/>
    </row>
    <row r="174" spans="1:16" x14ac:dyDescent="0.35">
      <c r="A174" s="291">
        <v>6</v>
      </c>
      <c r="B174" s="292" t="s">
        <v>176</v>
      </c>
      <c r="C174" s="130" t="s">
        <v>7</v>
      </c>
      <c r="D174" s="311" t="s">
        <v>372</v>
      </c>
      <c r="E174" s="311"/>
      <c r="F174" s="311"/>
      <c r="G174" s="311"/>
      <c r="H174" s="311"/>
    </row>
    <row r="175" spans="1:16" x14ac:dyDescent="0.35">
      <c r="A175" s="291">
        <v>7</v>
      </c>
      <c r="B175" s="292" t="s">
        <v>180</v>
      </c>
      <c r="C175" s="128" t="s">
        <v>141</v>
      </c>
      <c r="D175" s="310">
        <f>[20]Лист_1!$V$408+[20]Лист_1!$X$408</f>
        <v>1045229.98</v>
      </c>
      <c r="E175" s="311"/>
      <c r="F175" s="311"/>
      <c r="G175" s="311"/>
      <c r="H175" s="311"/>
      <c r="K175" s="57" t="s">
        <v>373</v>
      </c>
    </row>
    <row r="176" spans="1:16" x14ac:dyDescent="0.35">
      <c r="A176" s="291">
        <v>8</v>
      </c>
      <c r="B176" s="292" t="s">
        <v>181</v>
      </c>
      <c r="C176" s="128" t="s">
        <v>141</v>
      </c>
      <c r="D176" s="310">
        <f>[20]Лист_1!$AX$408+[20]Лист_1!$AU$408</f>
        <v>967266.77</v>
      </c>
      <c r="E176" s="311"/>
      <c r="F176" s="311"/>
      <c r="G176" s="311"/>
      <c r="H176" s="311"/>
    </row>
    <row r="177" spans="1:22" x14ac:dyDescent="0.35">
      <c r="A177" s="291">
        <v>9</v>
      </c>
      <c r="B177" s="292" t="s">
        <v>188</v>
      </c>
      <c r="C177" s="128" t="s">
        <v>141</v>
      </c>
      <c r="D177" s="310">
        <f>D175-D176</f>
        <v>77963.209999999963</v>
      </c>
      <c r="E177" s="311"/>
      <c r="F177" s="311"/>
      <c r="G177" s="311"/>
      <c r="H177" s="311"/>
    </row>
    <row r="178" spans="1:22" x14ac:dyDescent="0.35">
      <c r="A178" s="291">
        <v>10</v>
      </c>
      <c r="B178" s="292" t="s">
        <v>183</v>
      </c>
      <c r="C178" s="128" t="s">
        <v>141</v>
      </c>
      <c r="D178" s="310">
        <f>D175</f>
        <v>1045229.98</v>
      </c>
      <c r="E178" s="311"/>
      <c r="F178" s="311"/>
      <c r="G178" s="311"/>
      <c r="H178" s="311"/>
    </row>
    <row r="179" spans="1:22" x14ac:dyDescent="0.35">
      <c r="A179" s="291">
        <v>11</v>
      </c>
      <c r="B179" s="292" t="s">
        <v>184</v>
      </c>
      <c r="C179" s="128" t="s">
        <v>141</v>
      </c>
      <c r="D179" s="310">
        <f>D175</f>
        <v>1045229.98</v>
      </c>
      <c r="E179" s="311"/>
      <c r="F179" s="311"/>
      <c r="G179" s="311"/>
      <c r="H179" s="311"/>
    </row>
    <row r="180" spans="1:22" ht="15.5" hidden="1" customHeight="1" x14ac:dyDescent="0.35">
      <c r="A180" s="106"/>
      <c r="B180" s="91"/>
      <c r="C180" s="91"/>
      <c r="D180" s="311"/>
      <c r="E180" s="311"/>
      <c r="F180" s="311"/>
      <c r="G180" s="311"/>
      <c r="H180" s="311"/>
    </row>
    <row r="181" spans="1:22" ht="15.5" hidden="1" customHeight="1" x14ac:dyDescent="0.35">
      <c r="A181" s="291"/>
      <c r="B181" s="292"/>
      <c r="C181" s="291"/>
      <c r="D181" s="311"/>
      <c r="E181" s="311"/>
      <c r="F181" s="311"/>
      <c r="G181" s="311"/>
      <c r="H181" s="311"/>
      <c r="T181" s="58"/>
      <c r="U181" s="58"/>
      <c r="V181" s="58"/>
    </row>
    <row r="182" spans="1:22" ht="15.5" hidden="1" customHeight="1" x14ac:dyDescent="0.35">
      <c r="A182" s="106"/>
      <c r="B182" s="91"/>
      <c r="C182" s="91"/>
      <c r="D182" s="311"/>
      <c r="E182" s="311"/>
      <c r="F182" s="311"/>
      <c r="G182" s="311"/>
      <c r="H182" s="311"/>
      <c r="T182" s="58"/>
      <c r="U182" s="58"/>
      <c r="V182" s="58"/>
    </row>
    <row r="183" spans="1:22" ht="15.5" hidden="1" customHeight="1" x14ac:dyDescent="0.35">
      <c r="A183" s="102" t="s">
        <v>0</v>
      </c>
      <c r="B183" s="330" t="s">
        <v>2</v>
      </c>
      <c r="C183" s="330" t="s">
        <v>3</v>
      </c>
      <c r="D183" s="311" t="s">
        <v>4</v>
      </c>
      <c r="E183" s="311"/>
      <c r="F183" s="311"/>
      <c r="G183" s="311"/>
      <c r="H183" s="311"/>
      <c r="T183" s="58"/>
      <c r="U183" s="58"/>
      <c r="V183" s="58"/>
    </row>
    <row r="184" spans="1:22" ht="15.5" hidden="1" customHeight="1" x14ac:dyDescent="0.35">
      <c r="A184" s="285" t="s">
        <v>1</v>
      </c>
      <c r="B184" s="330"/>
      <c r="C184" s="330"/>
      <c r="D184" s="311"/>
      <c r="E184" s="311"/>
      <c r="F184" s="311"/>
      <c r="G184" s="311"/>
      <c r="H184" s="311"/>
      <c r="T184" s="58"/>
      <c r="U184" s="58"/>
      <c r="V184" s="58"/>
    </row>
    <row r="185" spans="1:22" ht="15.5" hidden="1" customHeight="1" x14ac:dyDescent="0.35">
      <c r="A185" s="291" t="s">
        <v>5</v>
      </c>
      <c r="B185" s="292" t="s">
        <v>6</v>
      </c>
      <c r="C185" s="291" t="s">
        <v>7</v>
      </c>
      <c r="D185" s="311">
        <v>43851</v>
      </c>
      <c r="E185" s="311"/>
      <c r="F185" s="311"/>
      <c r="G185" s="311"/>
      <c r="H185" s="311"/>
      <c r="T185" s="58"/>
      <c r="U185" s="58"/>
      <c r="V185" s="58"/>
    </row>
    <row r="186" spans="1:22" ht="15.5" hidden="1" customHeight="1" x14ac:dyDescent="0.35">
      <c r="A186" s="291" t="s">
        <v>9</v>
      </c>
      <c r="B186" s="292" t="s">
        <v>194</v>
      </c>
      <c r="C186" s="291" t="s">
        <v>7</v>
      </c>
      <c r="D186" s="311" t="s">
        <v>195</v>
      </c>
      <c r="E186" s="311"/>
      <c r="F186" s="311"/>
      <c r="G186" s="311"/>
      <c r="H186" s="311"/>
      <c r="T186" s="58"/>
      <c r="U186" s="58"/>
      <c r="V186" s="58"/>
    </row>
    <row r="187" spans="1:22" ht="15.5" hidden="1" customHeight="1" x14ac:dyDescent="0.35">
      <c r="A187" s="291" t="s">
        <v>12</v>
      </c>
      <c r="B187" s="292" t="s">
        <v>106</v>
      </c>
      <c r="C187" s="291" t="s">
        <v>7</v>
      </c>
      <c r="D187" s="311" t="s">
        <v>107</v>
      </c>
      <c r="E187" s="311"/>
      <c r="F187" s="311"/>
      <c r="G187" s="311"/>
      <c r="H187" s="311"/>
      <c r="T187" s="58"/>
      <c r="U187" s="58"/>
      <c r="V187" s="58"/>
    </row>
    <row r="188" spans="1:22" ht="15.5" hidden="1" customHeight="1" x14ac:dyDescent="0.35">
      <c r="A188" s="291" t="s">
        <v>15</v>
      </c>
      <c r="B188" s="292" t="s">
        <v>172</v>
      </c>
      <c r="C188" s="291" t="s">
        <v>141</v>
      </c>
      <c r="D188" s="311" t="s">
        <v>196</v>
      </c>
      <c r="E188" s="311"/>
      <c r="F188" s="311"/>
      <c r="G188" s="311"/>
      <c r="H188" s="311"/>
      <c r="T188" s="58"/>
      <c r="U188" s="58"/>
      <c r="V188" s="58"/>
    </row>
    <row r="189" spans="1:22" ht="15.5" hidden="1" customHeight="1" x14ac:dyDescent="0.35">
      <c r="A189" s="291" t="s">
        <v>18</v>
      </c>
      <c r="B189" s="292" t="s">
        <v>173</v>
      </c>
      <c r="C189" s="291" t="s">
        <v>7</v>
      </c>
      <c r="D189" s="311" t="s">
        <v>197</v>
      </c>
      <c r="E189" s="311"/>
      <c r="F189" s="311"/>
      <c r="G189" s="311"/>
      <c r="H189" s="311"/>
      <c r="T189" s="58"/>
      <c r="U189" s="58"/>
      <c r="V189" s="58"/>
    </row>
    <row r="190" spans="1:22" ht="15.5" hidden="1" customHeight="1" x14ac:dyDescent="0.35">
      <c r="A190" s="336" t="s">
        <v>21</v>
      </c>
      <c r="B190" s="359" t="s">
        <v>175</v>
      </c>
      <c r="C190" s="336" t="s">
        <v>7</v>
      </c>
      <c r="D190" s="311" t="s">
        <v>198</v>
      </c>
      <c r="E190" s="311"/>
      <c r="F190" s="311"/>
      <c r="G190" s="311"/>
      <c r="H190" s="311"/>
      <c r="T190" s="58"/>
      <c r="U190" s="58"/>
      <c r="V190" s="58"/>
    </row>
    <row r="191" spans="1:22" ht="26" hidden="1" customHeight="1" x14ac:dyDescent="0.35">
      <c r="A191" s="336"/>
      <c r="B191" s="359"/>
      <c r="C191" s="336"/>
      <c r="D191" s="311" t="s">
        <v>199</v>
      </c>
      <c r="E191" s="311"/>
      <c r="F191" s="311"/>
      <c r="G191" s="311"/>
      <c r="H191" s="311"/>
      <c r="T191" s="58"/>
      <c r="U191" s="58"/>
      <c r="V191" s="58"/>
    </row>
    <row r="192" spans="1:22" ht="15.5" hidden="1" customHeight="1" x14ac:dyDescent="0.35">
      <c r="A192" s="291" t="s">
        <v>23</v>
      </c>
      <c r="B192" s="292" t="s">
        <v>176</v>
      </c>
      <c r="C192" s="130" t="s">
        <v>7</v>
      </c>
      <c r="D192" s="311" t="s">
        <v>177</v>
      </c>
      <c r="E192" s="311"/>
      <c r="F192" s="311"/>
      <c r="G192" s="311"/>
      <c r="H192" s="311"/>
      <c r="T192" s="58"/>
      <c r="U192" s="58"/>
      <c r="V192" s="58"/>
    </row>
    <row r="193" spans="1:23" ht="15.5" hidden="1" customHeight="1" x14ac:dyDescent="0.35">
      <c r="A193" s="291" t="s">
        <v>26</v>
      </c>
      <c r="B193" s="292" t="s">
        <v>178</v>
      </c>
      <c r="C193" s="128" t="s">
        <v>107</v>
      </c>
      <c r="D193" s="311">
        <v>457.84</v>
      </c>
      <c r="E193" s="311"/>
      <c r="F193" s="311"/>
      <c r="G193" s="311"/>
      <c r="H193" s="311"/>
      <c r="T193" s="58"/>
      <c r="U193" s="58"/>
      <c r="V193" s="58"/>
    </row>
    <row r="194" spans="1:23" ht="15.5" hidden="1" customHeight="1" x14ac:dyDescent="0.35">
      <c r="A194" s="291">
        <v>9</v>
      </c>
      <c r="B194" s="292" t="s">
        <v>180</v>
      </c>
      <c r="C194" s="128" t="s">
        <v>141</v>
      </c>
      <c r="D194" s="311">
        <v>896686.22</v>
      </c>
      <c r="E194" s="311"/>
      <c r="F194" s="311"/>
      <c r="G194" s="311"/>
      <c r="H194" s="311"/>
      <c r="T194" s="58"/>
      <c r="U194" s="58"/>
      <c r="V194" s="58"/>
    </row>
    <row r="195" spans="1:23" ht="15.5" hidden="1" customHeight="1" x14ac:dyDescent="0.35">
      <c r="A195" s="291">
        <v>10</v>
      </c>
      <c r="B195" s="292" t="s">
        <v>181</v>
      </c>
      <c r="C195" s="128" t="s">
        <v>141</v>
      </c>
      <c r="D195" s="311" t="s">
        <v>200</v>
      </c>
      <c r="E195" s="311"/>
      <c r="F195" s="311"/>
      <c r="G195" s="311"/>
      <c r="H195" s="311"/>
      <c r="T195" s="58"/>
      <c r="U195" s="58"/>
      <c r="V195" s="58"/>
    </row>
    <row r="196" spans="1:23" ht="15.5" hidden="1" customHeight="1" x14ac:dyDescent="0.35">
      <c r="A196" s="291">
        <v>11</v>
      </c>
      <c r="B196" s="292" t="s">
        <v>188</v>
      </c>
      <c r="C196" s="128" t="s">
        <v>141</v>
      </c>
      <c r="D196" s="311" t="s">
        <v>201</v>
      </c>
      <c r="E196" s="311"/>
      <c r="F196" s="311"/>
      <c r="G196" s="311"/>
      <c r="H196" s="311"/>
      <c r="T196" s="58"/>
      <c r="U196" s="58"/>
      <c r="V196" s="58"/>
    </row>
    <row r="197" spans="1:23" ht="15.5" hidden="1" customHeight="1" x14ac:dyDescent="0.35">
      <c r="A197" s="291">
        <v>12</v>
      </c>
      <c r="B197" s="292" t="s">
        <v>183</v>
      </c>
      <c r="C197" s="128" t="s">
        <v>141</v>
      </c>
      <c r="D197" s="311">
        <v>896686.22</v>
      </c>
      <c r="E197" s="311"/>
      <c r="F197" s="311"/>
      <c r="G197" s="311"/>
      <c r="H197" s="311"/>
      <c r="T197" s="58"/>
      <c r="U197" s="58"/>
      <c r="V197" s="58"/>
    </row>
    <row r="198" spans="1:23" ht="15.5" hidden="1" customHeight="1" x14ac:dyDescent="0.35">
      <c r="A198" s="291">
        <v>13</v>
      </c>
      <c r="B198" s="292" t="s">
        <v>184</v>
      </c>
      <c r="C198" s="128" t="s">
        <v>141</v>
      </c>
      <c r="D198" s="311">
        <v>896686.22</v>
      </c>
      <c r="E198" s="311"/>
      <c r="F198" s="311"/>
      <c r="G198" s="311"/>
      <c r="H198" s="311"/>
      <c r="T198" s="58"/>
      <c r="U198" s="58"/>
      <c r="V198" s="58"/>
    </row>
    <row r="199" spans="1:23" ht="15.5" hidden="1" customHeight="1" x14ac:dyDescent="0.35">
      <c r="A199" s="106"/>
      <c r="B199" s="91"/>
      <c r="C199" s="91"/>
      <c r="D199" s="311"/>
      <c r="E199" s="311"/>
      <c r="F199" s="311"/>
      <c r="G199" s="311"/>
      <c r="H199" s="311"/>
      <c r="T199" s="58"/>
      <c r="U199" s="58"/>
      <c r="V199" s="58"/>
    </row>
    <row r="200" spans="1:23" x14ac:dyDescent="0.35">
      <c r="A200" s="291" t="s">
        <v>0</v>
      </c>
      <c r="B200" s="330" t="s">
        <v>2</v>
      </c>
      <c r="C200" s="330" t="s">
        <v>3</v>
      </c>
      <c r="D200" s="311" t="s">
        <v>4</v>
      </c>
      <c r="E200" s="311"/>
      <c r="F200" s="311"/>
      <c r="G200" s="311"/>
      <c r="H200" s="311"/>
      <c r="T200" s="58"/>
      <c r="U200" s="58"/>
      <c r="V200" s="58"/>
      <c r="W200" s="58" t="e">
        <f>#REF!+#REF!</f>
        <v>#REF!</v>
      </c>
    </row>
    <row r="201" spans="1:23" x14ac:dyDescent="0.35">
      <c r="A201" s="285" t="s">
        <v>1</v>
      </c>
      <c r="B201" s="330"/>
      <c r="C201" s="330"/>
      <c r="D201" s="311"/>
      <c r="E201" s="311"/>
      <c r="F201" s="311"/>
      <c r="G201" s="311"/>
      <c r="H201" s="311"/>
      <c r="T201" s="58"/>
      <c r="U201" s="58">
        <f>'[7]проверка 25 год'!$AU$15</f>
        <v>432876.7899999998</v>
      </c>
      <c r="V201" s="58"/>
    </row>
    <row r="202" spans="1:23" x14ac:dyDescent="0.35">
      <c r="A202" s="291">
        <v>1</v>
      </c>
      <c r="B202" s="292" t="s">
        <v>202</v>
      </c>
      <c r="C202" s="291" t="s">
        <v>7</v>
      </c>
      <c r="D202" s="311" t="s">
        <v>482</v>
      </c>
      <c r="E202" s="311"/>
      <c r="F202" s="311"/>
      <c r="G202" s="311"/>
      <c r="H202" s="311"/>
    </row>
    <row r="203" spans="1:23" x14ac:dyDescent="0.35">
      <c r="A203" s="291">
        <v>2</v>
      </c>
      <c r="B203" s="292" t="s">
        <v>106</v>
      </c>
      <c r="C203" s="291" t="s">
        <v>7</v>
      </c>
      <c r="D203" s="311" t="s">
        <v>107</v>
      </c>
      <c r="E203" s="311"/>
      <c r="F203" s="311"/>
      <c r="G203" s="311"/>
      <c r="H203" s="311"/>
      <c r="U203" s="57">
        <v>2024693.37</v>
      </c>
      <c r="V203" s="57" t="s">
        <v>383</v>
      </c>
      <c r="W203" s="57">
        <f>U203-15070.29</f>
        <v>2009623.08</v>
      </c>
    </row>
    <row r="204" spans="1:23" x14ac:dyDescent="0.35">
      <c r="A204" s="291">
        <v>3</v>
      </c>
      <c r="B204" s="292" t="s">
        <v>172</v>
      </c>
      <c r="C204" s="291" t="s">
        <v>141</v>
      </c>
      <c r="D204" s="311" t="s">
        <v>371</v>
      </c>
      <c r="E204" s="311"/>
      <c r="F204" s="311"/>
      <c r="G204" s="311"/>
      <c r="H204" s="311"/>
    </row>
    <row r="205" spans="1:23" x14ac:dyDescent="0.35">
      <c r="A205" s="291">
        <v>4</v>
      </c>
      <c r="B205" s="292" t="s">
        <v>173</v>
      </c>
      <c r="C205" s="291" t="s">
        <v>7</v>
      </c>
      <c r="D205" s="311" t="s">
        <v>317</v>
      </c>
      <c r="E205" s="311"/>
      <c r="F205" s="311"/>
      <c r="G205" s="311"/>
      <c r="H205" s="311"/>
      <c r="U205" s="58" t="e">
        <f>U203-#REF!-#REF!</f>
        <v>#REF!</v>
      </c>
      <c r="W205" s="58" t="e">
        <f>W200-U201</f>
        <v>#REF!</v>
      </c>
    </row>
    <row r="206" spans="1:23" ht="25" x14ac:dyDescent="0.35">
      <c r="A206" s="291">
        <v>5</v>
      </c>
      <c r="B206" s="292" t="s">
        <v>175</v>
      </c>
      <c r="C206" s="291" t="s">
        <v>7</v>
      </c>
      <c r="D206" s="311" t="s">
        <v>328</v>
      </c>
      <c r="E206" s="311"/>
      <c r="F206" s="311"/>
      <c r="G206" s="311"/>
      <c r="H206" s="311"/>
      <c r="U206" s="58" t="e">
        <f>U205+U201</f>
        <v>#REF!</v>
      </c>
    </row>
    <row r="207" spans="1:23" x14ac:dyDescent="0.35">
      <c r="A207" s="291">
        <v>6</v>
      </c>
      <c r="B207" s="292" t="s">
        <v>176</v>
      </c>
      <c r="C207" s="130" t="s">
        <v>7</v>
      </c>
      <c r="D207" s="311" t="s">
        <v>372</v>
      </c>
      <c r="E207" s="311"/>
      <c r="F207" s="311"/>
      <c r="G207" s="311"/>
      <c r="H207" s="311"/>
    </row>
    <row r="208" spans="1:23" x14ac:dyDescent="0.35">
      <c r="A208" s="291">
        <v>7</v>
      </c>
      <c r="B208" s="292" t="s">
        <v>180</v>
      </c>
      <c r="C208" s="128" t="s">
        <v>141</v>
      </c>
      <c r="D208" s="310">
        <f>[20]Лист_1!$Q$408</f>
        <v>2740863.77</v>
      </c>
      <c r="E208" s="311"/>
      <c r="F208" s="311"/>
      <c r="G208" s="311"/>
      <c r="H208" s="311"/>
    </row>
    <row r="209" spans="1:24" x14ac:dyDescent="0.35">
      <c r="A209" s="291">
        <v>8</v>
      </c>
      <c r="B209" s="292" t="s">
        <v>181</v>
      </c>
      <c r="C209" s="128" t="s">
        <v>141</v>
      </c>
      <c r="D209" s="310">
        <f>[20]Лист_1!$AP$408</f>
        <v>2566793.29</v>
      </c>
      <c r="E209" s="311"/>
      <c r="F209" s="311"/>
      <c r="G209" s="311"/>
      <c r="H209" s="311"/>
    </row>
    <row r="210" spans="1:24" x14ac:dyDescent="0.35">
      <c r="A210" s="291">
        <v>9</v>
      </c>
      <c r="B210" s="292" t="s">
        <v>188</v>
      </c>
      <c r="C210" s="128" t="s">
        <v>141</v>
      </c>
      <c r="D210" s="311">
        <f>D208-D209</f>
        <v>174070.47999999998</v>
      </c>
      <c r="E210" s="311"/>
      <c r="F210" s="311"/>
      <c r="G210" s="311"/>
      <c r="H210" s="311"/>
      <c r="U210" s="57" t="s">
        <v>361</v>
      </c>
      <c r="V210" s="57" t="s">
        <v>384</v>
      </c>
      <c r="W210" s="57" t="s">
        <v>385</v>
      </c>
    </row>
    <row r="211" spans="1:24" x14ac:dyDescent="0.35">
      <c r="A211" s="291">
        <v>10</v>
      </c>
      <c r="B211" s="292" t="s">
        <v>183</v>
      </c>
      <c r="C211" s="128" t="s">
        <v>141</v>
      </c>
      <c r="D211" s="310">
        <f>D208</f>
        <v>2740863.77</v>
      </c>
      <c r="E211" s="311"/>
      <c r="F211" s="311"/>
      <c r="G211" s="311"/>
      <c r="H211" s="311"/>
      <c r="T211" s="57">
        <v>4284306.9000000004</v>
      </c>
      <c r="U211" s="58" t="str">
        <f>D151</f>
        <v>Значение</v>
      </c>
      <c r="V211" s="58">
        <f>D175</f>
        <v>1045229.98</v>
      </c>
      <c r="W211" s="58">
        <f>D208</f>
        <v>2740863.77</v>
      </c>
      <c r="X211" s="58" t="e">
        <f>U211+V211+W211</f>
        <v>#VALUE!</v>
      </c>
    </row>
    <row r="212" spans="1:24" x14ac:dyDescent="0.35">
      <c r="A212" s="291">
        <v>11</v>
      </c>
      <c r="B212" s="292" t="s">
        <v>184</v>
      </c>
      <c r="C212" s="128" t="s">
        <v>141</v>
      </c>
      <c r="D212" s="310">
        <f>D211</f>
        <v>2740863.77</v>
      </c>
      <c r="E212" s="311"/>
      <c r="F212" s="311"/>
      <c r="G212" s="311"/>
      <c r="H212" s="311"/>
    </row>
    <row r="213" spans="1:24" ht="15.5" hidden="1" customHeight="1" x14ac:dyDescent="0.35">
      <c r="A213" s="106"/>
      <c r="B213" s="91"/>
      <c r="C213" s="91"/>
      <c r="D213" s="311"/>
      <c r="E213" s="311"/>
      <c r="F213" s="311"/>
      <c r="G213" s="311"/>
      <c r="H213" s="311"/>
    </row>
    <row r="214" spans="1:24" x14ac:dyDescent="0.35">
      <c r="A214" s="291" t="s">
        <v>0</v>
      </c>
      <c r="B214" s="330" t="s">
        <v>2</v>
      </c>
      <c r="C214" s="330" t="s">
        <v>3</v>
      </c>
      <c r="D214" s="311" t="s">
        <v>4</v>
      </c>
      <c r="E214" s="311"/>
      <c r="F214" s="311"/>
      <c r="G214" s="311"/>
      <c r="H214" s="311"/>
    </row>
    <row r="215" spans="1:24" x14ac:dyDescent="0.35">
      <c r="A215" s="285" t="s">
        <v>1</v>
      </c>
      <c r="B215" s="330"/>
      <c r="C215" s="330"/>
      <c r="D215" s="311"/>
      <c r="E215" s="311"/>
      <c r="F215" s="311"/>
      <c r="G215" s="311"/>
      <c r="H215" s="311"/>
    </row>
    <row r="216" spans="1:24" x14ac:dyDescent="0.35">
      <c r="A216" s="291">
        <v>1</v>
      </c>
      <c r="B216" s="292" t="s">
        <v>481</v>
      </c>
      <c r="C216" s="291" t="s">
        <v>7</v>
      </c>
      <c r="D216" s="311" t="s">
        <v>205</v>
      </c>
      <c r="E216" s="311"/>
      <c r="F216" s="311"/>
      <c r="G216" s="311"/>
      <c r="H216" s="311"/>
    </row>
    <row r="217" spans="1:24" x14ac:dyDescent="0.35">
      <c r="A217" s="291">
        <v>2</v>
      </c>
      <c r="B217" s="292" t="s">
        <v>106</v>
      </c>
      <c r="C217" s="291" t="s">
        <v>7</v>
      </c>
      <c r="D217" s="311" t="s">
        <v>158</v>
      </c>
      <c r="E217" s="311"/>
      <c r="F217" s="311"/>
      <c r="G217" s="311"/>
      <c r="H217" s="311"/>
    </row>
    <row r="218" spans="1:24" ht="37.5" x14ac:dyDescent="0.35">
      <c r="A218" s="291">
        <v>3</v>
      </c>
      <c r="B218" s="292" t="s">
        <v>172</v>
      </c>
      <c r="C218" s="291" t="s">
        <v>269</v>
      </c>
      <c r="D218" s="311" t="s">
        <v>376</v>
      </c>
      <c r="E218" s="311"/>
      <c r="F218" s="311"/>
      <c r="G218" s="311"/>
      <c r="H218" s="311"/>
      <c r="K218" s="57" t="s">
        <v>318</v>
      </c>
    </row>
    <row r="219" spans="1:24" x14ac:dyDescent="0.35">
      <c r="A219" s="291">
        <v>4</v>
      </c>
      <c r="B219" s="292" t="s">
        <v>173</v>
      </c>
      <c r="C219" s="291" t="s">
        <v>7</v>
      </c>
      <c r="D219" s="383" t="s">
        <v>270</v>
      </c>
      <c r="E219" s="383"/>
      <c r="F219" s="383"/>
      <c r="G219" s="383"/>
      <c r="H219" s="383"/>
      <c r="K219" s="57" t="s">
        <v>319</v>
      </c>
    </row>
    <row r="220" spans="1:24" ht="25" x14ac:dyDescent="0.35">
      <c r="A220" s="291">
        <v>5</v>
      </c>
      <c r="B220" s="292" t="s">
        <v>175</v>
      </c>
      <c r="C220" s="291" t="s">
        <v>7</v>
      </c>
      <c r="D220" s="311" t="s">
        <v>327</v>
      </c>
      <c r="E220" s="311"/>
      <c r="F220" s="311"/>
      <c r="G220" s="311"/>
      <c r="H220" s="311"/>
    </row>
    <row r="221" spans="1:24" x14ac:dyDescent="0.35">
      <c r="A221" s="291">
        <v>6</v>
      </c>
      <c r="B221" s="292" t="s">
        <v>176</v>
      </c>
      <c r="C221" s="130" t="s">
        <v>7</v>
      </c>
      <c r="D221" s="311" t="s">
        <v>359</v>
      </c>
      <c r="E221" s="311"/>
      <c r="F221" s="311"/>
      <c r="G221" s="311"/>
      <c r="H221" s="311"/>
      <c r="K221" s="57" t="str">
        <f>K218</f>
        <v>проверить тарифы</v>
      </c>
    </row>
    <row r="222" spans="1:24" x14ac:dyDescent="0.35">
      <c r="A222" s="291">
        <v>7</v>
      </c>
      <c r="B222" s="292" t="s">
        <v>180</v>
      </c>
      <c r="C222" s="128" t="s">
        <v>141</v>
      </c>
      <c r="D222" s="310">
        <f>[20]Лист_1!$I$408+[20]Лист_1!$J$408</f>
        <v>764626.5</v>
      </c>
      <c r="E222" s="311"/>
      <c r="F222" s="311"/>
      <c r="G222" s="311"/>
      <c r="H222" s="311"/>
    </row>
    <row r="223" spans="1:24" x14ac:dyDescent="0.35">
      <c r="A223" s="291">
        <v>8</v>
      </c>
      <c r="B223" s="292" t="s">
        <v>181</v>
      </c>
      <c r="C223" s="128" t="s">
        <v>141</v>
      </c>
      <c r="D223" s="310">
        <f>[20]Лист_1!$AH$408+[20]Лист_1!$AI$408+[20]Лист_1!$AJ$408</f>
        <v>711217.01</v>
      </c>
      <c r="E223" s="311"/>
      <c r="F223" s="311"/>
      <c r="G223" s="311"/>
      <c r="H223" s="311"/>
    </row>
    <row r="224" spans="1:24" x14ac:dyDescent="0.35">
      <c r="A224" s="291">
        <v>9</v>
      </c>
      <c r="B224" s="292" t="s">
        <v>188</v>
      </c>
      <c r="C224" s="128" t="s">
        <v>141</v>
      </c>
      <c r="D224" s="311">
        <f>D222-D223</f>
        <v>53409.489999999991</v>
      </c>
      <c r="E224" s="311"/>
      <c r="F224" s="311"/>
      <c r="G224" s="311"/>
      <c r="H224" s="311"/>
    </row>
    <row r="225" spans="1:11" x14ac:dyDescent="0.35">
      <c r="A225" s="291">
        <v>10</v>
      </c>
      <c r="B225" s="292" t="s">
        <v>183</v>
      </c>
      <c r="C225" s="128" t="s">
        <v>141</v>
      </c>
      <c r="D225" s="311">
        <f>D222</f>
        <v>764626.5</v>
      </c>
      <c r="E225" s="311"/>
      <c r="F225" s="311"/>
      <c r="G225" s="311"/>
      <c r="H225" s="311"/>
    </row>
    <row r="226" spans="1:11" x14ac:dyDescent="0.35">
      <c r="A226" s="291">
        <v>11</v>
      </c>
      <c r="B226" s="292" t="s">
        <v>184</v>
      </c>
      <c r="C226" s="128" t="s">
        <v>141</v>
      </c>
      <c r="D226" s="311">
        <f>D225</f>
        <v>764626.5</v>
      </c>
      <c r="E226" s="311"/>
      <c r="F226" s="311"/>
      <c r="G226" s="311"/>
      <c r="H226" s="311"/>
    </row>
    <row r="227" spans="1:11" x14ac:dyDescent="0.35">
      <c r="A227" s="285" t="s">
        <v>1</v>
      </c>
      <c r="B227" s="285"/>
      <c r="C227" s="285"/>
      <c r="D227" s="311"/>
      <c r="E227" s="311"/>
      <c r="F227" s="311"/>
      <c r="G227" s="311"/>
      <c r="H227" s="311"/>
    </row>
    <row r="228" spans="1:11" ht="16" hidden="1" customHeight="1" x14ac:dyDescent="0.35">
      <c r="A228" s="291" t="s">
        <v>5</v>
      </c>
      <c r="B228" s="292" t="s">
        <v>6</v>
      </c>
      <c r="C228" s="291" t="s">
        <v>7</v>
      </c>
      <c r="D228" s="311">
        <v>43851</v>
      </c>
      <c r="E228" s="311"/>
      <c r="F228" s="311"/>
      <c r="G228" s="311"/>
      <c r="H228" s="311"/>
    </row>
    <row r="229" spans="1:11" x14ac:dyDescent="0.35">
      <c r="A229" s="291">
        <v>1</v>
      </c>
      <c r="B229" s="292" t="s">
        <v>149</v>
      </c>
      <c r="C229" s="291" t="s">
        <v>7</v>
      </c>
      <c r="D229" s="311" t="s">
        <v>157</v>
      </c>
      <c r="E229" s="311"/>
      <c r="F229" s="311"/>
      <c r="G229" s="311"/>
      <c r="H229" s="311"/>
    </row>
    <row r="230" spans="1:11" x14ac:dyDescent="0.35">
      <c r="A230" s="291">
        <v>2</v>
      </c>
      <c r="B230" s="292" t="s">
        <v>154</v>
      </c>
      <c r="C230" s="291" t="s">
        <v>7</v>
      </c>
      <c r="D230" s="311" t="s">
        <v>158</v>
      </c>
      <c r="E230" s="311"/>
      <c r="F230" s="311"/>
      <c r="G230" s="311"/>
      <c r="H230" s="311"/>
    </row>
    <row r="231" spans="1:11" x14ac:dyDescent="0.35">
      <c r="A231" s="291">
        <v>3</v>
      </c>
      <c r="B231" s="292" t="s">
        <v>264</v>
      </c>
      <c r="C231" s="125"/>
      <c r="D231" s="311"/>
      <c r="E231" s="311"/>
      <c r="F231" s="311"/>
      <c r="G231" s="311"/>
      <c r="H231" s="311"/>
    </row>
    <row r="232" spans="1:11" x14ac:dyDescent="0.35">
      <c r="A232" s="291" t="s">
        <v>218</v>
      </c>
      <c r="B232" s="295" t="s">
        <v>353</v>
      </c>
      <c r="C232" s="126" t="s">
        <v>308</v>
      </c>
      <c r="D232" s="311">
        <v>0.17799999999999999</v>
      </c>
      <c r="E232" s="311"/>
      <c r="F232" s="311"/>
      <c r="G232" s="311"/>
      <c r="H232" s="311"/>
    </row>
    <row r="233" spans="1:11" x14ac:dyDescent="0.35">
      <c r="A233" s="291" t="s">
        <v>219</v>
      </c>
      <c r="B233" s="295" t="s">
        <v>354</v>
      </c>
      <c r="C233" s="126" t="s">
        <v>308</v>
      </c>
      <c r="D233" s="311">
        <v>0.65100000000000002</v>
      </c>
      <c r="E233" s="311"/>
      <c r="F233" s="311"/>
      <c r="G233" s="311"/>
      <c r="H233" s="311"/>
    </row>
    <row r="234" spans="1:11" x14ac:dyDescent="0.35">
      <c r="A234" s="291" t="s">
        <v>221</v>
      </c>
      <c r="B234" s="295" t="s">
        <v>161</v>
      </c>
      <c r="C234" s="126" t="s">
        <v>309</v>
      </c>
      <c r="D234" s="311">
        <v>0.17799999999999999</v>
      </c>
      <c r="E234" s="311"/>
      <c r="F234" s="311"/>
      <c r="G234" s="311"/>
      <c r="H234" s="311"/>
    </row>
    <row r="235" spans="1:11" x14ac:dyDescent="0.35">
      <c r="A235" s="291" t="s">
        <v>222</v>
      </c>
      <c r="B235" s="295" t="s">
        <v>163</v>
      </c>
      <c r="C235" s="126" t="s">
        <v>310</v>
      </c>
      <c r="D235" s="311">
        <v>6.0609999999999999</v>
      </c>
      <c r="E235" s="311"/>
      <c r="F235" s="311"/>
      <c r="G235" s="311"/>
      <c r="H235" s="311"/>
    </row>
    <row r="236" spans="1:11" x14ac:dyDescent="0.35">
      <c r="A236" s="291" t="s">
        <v>355</v>
      </c>
      <c r="B236" s="295" t="s">
        <v>165</v>
      </c>
      <c r="C236" s="126" t="s">
        <v>311</v>
      </c>
      <c r="D236" s="311">
        <v>0.313</v>
      </c>
      <c r="E236" s="311"/>
      <c r="F236" s="311"/>
      <c r="G236" s="311"/>
      <c r="H236" s="311"/>
    </row>
    <row r="237" spans="1:11" x14ac:dyDescent="0.35">
      <c r="A237" s="291">
        <v>4</v>
      </c>
      <c r="B237" s="332" t="s">
        <v>477</v>
      </c>
      <c r="C237" s="332"/>
      <c r="D237" s="332"/>
      <c r="E237" s="332"/>
      <c r="F237" s="332"/>
      <c r="G237" s="332"/>
      <c r="H237" s="332"/>
    </row>
    <row r="238" spans="1:11" x14ac:dyDescent="0.35">
      <c r="A238" s="291" t="s">
        <v>159</v>
      </c>
      <c r="B238" s="295" t="s">
        <v>356</v>
      </c>
      <c r="C238" s="126" t="s">
        <v>141</v>
      </c>
      <c r="D238" s="310">
        <f>[20]Лист_1!$K$408</f>
        <v>30067.82</v>
      </c>
      <c r="E238" s="311"/>
      <c r="F238" s="311"/>
      <c r="G238" s="311"/>
      <c r="H238" s="311"/>
      <c r="K238" s="58"/>
    </row>
    <row r="239" spans="1:11" x14ac:dyDescent="0.35">
      <c r="A239" s="291" t="s">
        <v>160</v>
      </c>
      <c r="B239" s="295" t="s">
        <v>357</v>
      </c>
      <c r="C239" s="126"/>
      <c r="D239" s="310">
        <f>[20]Лист_1!$L$408+[20]Лист_1!$M$408</f>
        <v>101416.19</v>
      </c>
      <c r="E239" s="311"/>
      <c r="F239" s="311"/>
      <c r="G239" s="311"/>
      <c r="H239" s="311"/>
      <c r="K239" s="58"/>
    </row>
    <row r="240" spans="1:11" x14ac:dyDescent="0.35">
      <c r="A240" s="291" t="s">
        <v>162</v>
      </c>
      <c r="B240" s="295" t="s">
        <v>161</v>
      </c>
      <c r="C240" s="126" t="s">
        <v>141</v>
      </c>
      <c r="D240" s="310">
        <f>[20]Лист_1!$Y$408</f>
        <v>30069.94</v>
      </c>
      <c r="E240" s="311"/>
      <c r="F240" s="311"/>
      <c r="G240" s="311"/>
      <c r="H240" s="311"/>
    </row>
    <row r="241" spans="1:11" x14ac:dyDescent="0.35">
      <c r="A241" s="291" t="s">
        <v>164</v>
      </c>
      <c r="B241" s="295" t="s">
        <v>163</v>
      </c>
      <c r="C241" s="126" t="s">
        <v>141</v>
      </c>
      <c r="D241" s="310">
        <f>[20]Лист_1!$Z$408</f>
        <v>883201.75</v>
      </c>
      <c r="E241" s="311"/>
      <c r="F241" s="311"/>
      <c r="G241" s="311"/>
      <c r="H241" s="311"/>
    </row>
    <row r="242" spans="1:11" x14ac:dyDescent="0.35">
      <c r="A242" s="291" t="s">
        <v>358</v>
      </c>
      <c r="B242" s="295" t="s">
        <v>165</v>
      </c>
      <c r="C242" s="126" t="s">
        <v>141</v>
      </c>
      <c r="D242" s="310">
        <f>[20]Лист_1!$H$408</f>
        <v>39743.089999999997</v>
      </c>
      <c r="E242" s="311"/>
      <c r="F242" s="311"/>
      <c r="G242" s="311"/>
      <c r="H242" s="311"/>
    </row>
    <row r="243" spans="1:11" x14ac:dyDescent="0.35">
      <c r="A243" s="291">
        <v>5</v>
      </c>
      <c r="B243" s="295" t="s">
        <v>476</v>
      </c>
      <c r="C243" s="126" t="s">
        <v>141</v>
      </c>
      <c r="D243" s="310">
        <f>[20]Лист_1!$AB$408</f>
        <v>-572708.6</v>
      </c>
      <c r="E243" s="311"/>
      <c r="F243" s="311"/>
      <c r="G243" s="311"/>
      <c r="H243" s="311"/>
    </row>
    <row r="244" spans="1:11" x14ac:dyDescent="0.35">
      <c r="A244" s="291" t="s">
        <v>21</v>
      </c>
      <c r="B244" s="295" t="s">
        <v>296</v>
      </c>
      <c r="C244" s="126" t="s">
        <v>141</v>
      </c>
      <c r="D244" s="310">
        <f>[20]Лист_1!$AA$408</f>
        <v>-44039.64</v>
      </c>
      <c r="E244" s="311"/>
      <c r="F244" s="311"/>
      <c r="G244" s="311"/>
      <c r="H244" s="311"/>
    </row>
    <row r="245" spans="1:11" x14ac:dyDescent="0.35">
      <c r="A245" s="291" t="s">
        <v>23</v>
      </c>
      <c r="B245" s="295" t="s">
        <v>144</v>
      </c>
      <c r="C245" s="126" t="s">
        <v>7</v>
      </c>
      <c r="D245" s="311" t="s">
        <v>478</v>
      </c>
      <c r="E245" s="311"/>
      <c r="F245" s="311"/>
      <c r="G245" s="311"/>
      <c r="H245" s="311"/>
    </row>
    <row r="246" spans="1:11" hidden="1" x14ac:dyDescent="0.35">
      <c r="A246" s="100"/>
      <c r="B246" s="101"/>
      <c r="C246" s="101"/>
      <c r="D246" s="101"/>
    </row>
    <row r="247" spans="1:11" hidden="1" x14ac:dyDescent="0.35">
      <c r="A247" s="120"/>
      <c r="B247" s="121"/>
      <c r="C247" s="121"/>
      <c r="D247" s="121"/>
    </row>
    <row r="248" spans="1:11" ht="31" customHeight="1" x14ac:dyDescent="0.35">
      <c r="A248" s="291" t="s">
        <v>23</v>
      </c>
      <c r="B248" s="292" t="s">
        <v>145</v>
      </c>
      <c r="C248" s="291" t="s">
        <v>7</v>
      </c>
      <c r="D248" s="333" t="s">
        <v>429</v>
      </c>
      <c r="E248" s="333"/>
      <c r="F248" s="333"/>
      <c r="G248" s="333"/>
      <c r="H248" s="333"/>
    </row>
    <row r="249" spans="1:11" hidden="1" x14ac:dyDescent="0.35">
      <c r="A249" s="291">
        <v>1</v>
      </c>
      <c r="B249" s="292" t="s">
        <v>202</v>
      </c>
      <c r="C249" s="291" t="s">
        <v>7</v>
      </c>
      <c r="D249" s="311" t="s">
        <v>205</v>
      </c>
      <c r="E249" s="311"/>
      <c r="F249" s="311"/>
      <c r="G249" s="311"/>
      <c r="H249" s="311"/>
    </row>
    <row r="250" spans="1:11" hidden="1" x14ac:dyDescent="0.35">
      <c r="A250" s="291">
        <v>2</v>
      </c>
      <c r="B250" s="292" t="s">
        <v>106</v>
      </c>
      <c r="C250" s="291" t="s">
        <v>7</v>
      </c>
      <c r="D250" s="311" t="s">
        <v>158</v>
      </c>
      <c r="E250" s="311"/>
      <c r="F250" s="311"/>
      <c r="G250" s="311"/>
      <c r="H250" s="311"/>
    </row>
    <row r="251" spans="1:11" ht="37.5" hidden="1" x14ac:dyDescent="0.35">
      <c r="A251" s="291">
        <v>3</v>
      </c>
      <c r="B251" s="292" t="s">
        <v>172</v>
      </c>
      <c r="C251" s="291" t="s">
        <v>269</v>
      </c>
      <c r="D251" s="311" t="s">
        <v>376</v>
      </c>
      <c r="E251" s="311"/>
      <c r="F251" s="311"/>
      <c r="G251" s="311"/>
      <c r="H251" s="311"/>
      <c r="K251" s="57" t="s">
        <v>318</v>
      </c>
    </row>
    <row r="252" spans="1:11" hidden="1" x14ac:dyDescent="0.35">
      <c r="A252" s="291">
        <v>4</v>
      </c>
      <c r="B252" s="292" t="s">
        <v>173</v>
      </c>
      <c r="C252" s="291" t="s">
        <v>7</v>
      </c>
      <c r="D252" s="383" t="s">
        <v>270</v>
      </c>
      <c r="E252" s="383"/>
      <c r="F252" s="383"/>
      <c r="G252" s="383"/>
      <c r="H252" s="383"/>
      <c r="K252" s="57" t="s">
        <v>319</v>
      </c>
    </row>
    <row r="253" spans="1:11" ht="25" hidden="1" x14ac:dyDescent="0.35">
      <c r="A253" s="291">
        <v>5</v>
      </c>
      <c r="B253" s="292" t="s">
        <v>175</v>
      </c>
      <c r="C253" s="291" t="s">
        <v>7</v>
      </c>
      <c r="D253" s="311" t="s">
        <v>327</v>
      </c>
      <c r="E253" s="311"/>
      <c r="F253" s="311"/>
      <c r="G253" s="311"/>
      <c r="H253" s="311"/>
    </row>
    <row r="254" spans="1:11" hidden="1" x14ac:dyDescent="0.35">
      <c r="A254" s="291">
        <v>6</v>
      </c>
      <c r="B254" s="292" t="s">
        <v>176</v>
      </c>
      <c r="C254" s="130" t="s">
        <v>7</v>
      </c>
      <c r="D254" s="311" t="s">
        <v>359</v>
      </c>
      <c r="E254" s="311"/>
      <c r="F254" s="311"/>
      <c r="G254" s="311"/>
      <c r="H254" s="311"/>
      <c r="K254" s="57" t="str">
        <f>K251</f>
        <v>проверить тарифы</v>
      </c>
    </row>
    <row r="255" spans="1:11" hidden="1" x14ac:dyDescent="0.35">
      <c r="A255" s="291">
        <v>7</v>
      </c>
      <c r="B255" s="292" t="s">
        <v>180</v>
      </c>
      <c r="C255" s="128" t="s">
        <v>141</v>
      </c>
      <c r="D255" s="310">
        <f>[13]Лист_1!$J$404+[13]Лист_1!$K$404</f>
        <v>705039.29999999993</v>
      </c>
      <c r="E255" s="311"/>
      <c r="F255" s="311"/>
      <c r="G255" s="311"/>
      <c r="H255" s="311"/>
    </row>
    <row r="256" spans="1:11" hidden="1" x14ac:dyDescent="0.35">
      <c r="A256" s="291">
        <v>8</v>
      </c>
      <c r="B256" s="292" t="s">
        <v>181</v>
      </c>
      <c r="C256" s="128" t="s">
        <v>141</v>
      </c>
      <c r="D256" s="310">
        <f>[13]Лист_1!$AI$404+[13]Лист_1!$AJ$404</f>
        <v>685709.19000000006</v>
      </c>
      <c r="E256" s="311"/>
      <c r="F256" s="311"/>
      <c r="G256" s="311"/>
      <c r="H256" s="311"/>
    </row>
    <row r="257" spans="1:8" hidden="1" x14ac:dyDescent="0.35">
      <c r="A257" s="291">
        <v>9</v>
      </c>
      <c r="B257" s="292" t="s">
        <v>188</v>
      </c>
      <c r="C257" s="128" t="s">
        <v>141</v>
      </c>
      <c r="D257" s="311">
        <f>D255-D256</f>
        <v>19330.10999999987</v>
      </c>
      <c r="E257" s="311"/>
      <c r="F257" s="311"/>
      <c r="G257" s="311"/>
      <c r="H257" s="311"/>
    </row>
    <row r="258" spans="1:8" hidden="1" x14ac:dyDescent="0.35">
      <c r="A258" s="291">
        <v>10</v>
      </c>
      <c r="B258" s="292" t="s">
        <v>183</v>
      </c>
      <c r="C258" s="128" t="s">
        <v>141</v>
      </c>
      <c r="D258" s="311">
        <f>D255</f>
        <v>705039.29999999993</v>
      </c>
      <c r="E258" s="311"/>
      <c r="F258" s="311"/>
      <c r="G258" s="311"/>
      <c r="H258" s="311"/>
    </row>
    <row r="259" spans="1:8" hidden="1" x14ac:dyDescent="0.35">
      <c r="A259" s="291">
        <v>11</v>
      </c>
      <c r="B259" s="292" t="s">
        <v>184</v>
      </c>
      <c r="C259" s="128" t="s">
        <v>141</v>
      </c>
      <c r="D259" s="311">
        <f>D258</f>
        <v>705039.29999999993</v>
      </c>
      <c r="E259" s="311"/>
      <c r="F259" s="311"/>
      <c r="G259" s="311"/>
      <c r="H259" s="311"/>
    </row>
    <row r="261" spans="1:8" x14ac:dyDescent="0.35">
      <c r="A261" s="368" t="s">
        <v>206</v>
      </c>
      <c r="B261" s="368"/>
      <c r="C261" s="368"/>
      <c r="D261" s="368"/>
    </row>
    <row r="263" spans="1:8" x14ac:dyDescent="0.35">
      <c r="A263" s="102" t="s">
        <v>0</v>
      </c>
      <c r="B263" s="330" t="s">
        <v>2</v>
      </c>
      <c r="C263" s="330" t="s">
        <v>3</v>
      </c>
      <c r="D263" s="330" t="s">
        <v>4</v>
      </c>
      <c r="E263" s="274"/>
    </row>
    <row r="264" spans="1:8" x14ac:dyDescent="0.35">
      <c r="A264" s="285" t="s">
        <v>1</v>
      </c>
      <c r="B264" s="330"/>
      <c r="C264" s="330"/>
      <c r="D264" s="330"/>
      <c r="E264" s="274"/>
    </row>
    <row r="265" spans="1:8" x14ac:dyDescent="0.35">
      <c r="A265" s="291">
        <v>1</v>
      </c>
      <c r="B265" s="292" t="s">
        <v>207</v>
      </c>
      <c r="C265" s="291" t="s">
        <v>7</v>
      </c>
      <c r="D265" s="296" t="str">
        <f>D283</f>
        <v>Холл первого этажа</v>
      </c>
      <c r="E265" s="189"/>
    </row>
    <row r="266" spans="1:8" x14ac:dyDescent="0.35">
      <c r="A266" s="291" t="s">
        <v>276</v>
      </c>
      <c r="B266" s="292" t="s">
        <v>210</v>
      </c>
      <c r="C266" s="291" t="s">
        <v>7</v>
      </c>
      <c r="D266" s="296" t="s">
        <v>224</v>
      </c>
      <c r="E266" s="189"/>
    </row>
    <row r="267" spans="1:8" x14ac:dyDescent="0.35">
      <c r="A267" s="291" t="s">
        <v>277</v>
      </c>
      <c r="B267" s="292" t="s">
        <v>213</v>
      </c>
      <c r="C267" s="291" t="s">
        <v>7</v>
      </c>
      <c r="D267" s="296" t="s">
        <v>280</v>
      </c>
      <c r="E267" s="189"/>
    </row>
    <row r="268" spans="1:8" x14ac:dyDescent="0.35">
      <c r="A268" s="193" t="s">
        <v>278</v>
      </c>
      <c r="B268" s="292" t="s">
        <v>216</v>
      </c>
      <c r="C268" s="291" t="s">
        <v>7</v>
      </c>
      <c r="D268" s="194">
        <v>2022</v>
      </c>
      <c r="E268" s="190"/>
    </row>
    <row r="269" spans="1:8" x14ac:dyDescent="0.35">
      <c r="A269" s="291" t="s">
        <v>279</v>
      </c>
      <c r="B269" s="292" t="s">
        <v>274</v>
      </c>
      <c r="C269" s="291" t="s">
        <v>141</v>
      </c>
      <c r="D269" s="275">
        <f>'[14]2025'!$J$91</f>
        <v>7200</v>
      </c>
      <c r="E269" s="189"/>
    </row>
    <row r="270" spans="1:8" ht="6.5" customHeight="1" x14ac:dyDescent="0.35">
      <c r="A270" s="291"/>
      <c r="B270" s="292"/>
      <c r="C270" s="291"/>
      <c r="D270" s="296"/>
      <c r="E270" s="189"/>
    </row>
    <row r="271" spans="1:8" x14ac:dyDescent="0.35">
      <c r="A271" s="291" t="s">
        <v>9</v>
      </c>
      <c r="B271" s="292" t="s">
        <v>207</v>
      </c>
      <c r="C271" s="291" t="s">
        <v>7</v>
      </c>
      <c r="D271" s="296" t="s">
        <v>208</v>
      </c>
      <c r="E271" s="189"/>
    </row>
    <row r="272" spans="1:8" x14ac:dyDescent="0.35">
      <c r="A272" s="291" t="s">
        <v>209</v>
      </c>
      <c r="B272" s="292" t="s">
        <v>210</v>
      </c>
      <c r="C272" s="291" t="s">
        <v>7</v>
      </c>
      <c r="D272" s="296" t="s">
        <v>211</v>
      </c>
      <c r="E272" s="189"/>
    </row>
    <row r="273" spans="1:5" x14ac:dyDescent="0.35">
      <c r="A273" s="291" t="s">
        <v>212</v>
      </c>
      <c r="B273" s="292" t="s">
        <v>213</v>
      </c>
      <c r="C273" s="291" t="s">
        <v>7</v>
      </c>
      <c r="D273" s="296" t="s">
        <v>214</v>
      </c>
      <c r="E273" s="189"/>
    </row>
    <row r="274" spans="1:5" x14ac:dyDescent="0.35">
      <c r="A274" s="193" t="s">
        <v>215</v>
      </c>
      <c r="B274" s="292" t="s">
        <v>216</v>
      </c>
      <c r="C274" s="291" t="s">
        <v>7</v>
      </c>
      <c r="D274" s="194">
        <v>2012</v>
      </c>
      <c r="E274" s="190"/>
    </row>
    <row r="275" spans="1:5" x14ac:dyDescent="0.35">
      <c r="A275" s="291" t="s">
        <v>217</v>
      </c>
      <c r="B275" s="292" t="s">
        <v>274</v>
      </c>
      <c r="C275" s="291" t="s">
        <v>141</v>
      </c>
      <c r="D275" s="296">
        <v>0</v>
      </c>
      <c r="E275" s="189"/>
    </row>
    <row r="276" spans="1:5" ht="6.5" customHeight="1" x14ac:dyDescent="0.35">
      <c r="A276" s="291"/>
      <c r="B276" s="292"/>
      <c r="C276" s="291"/>
      <c r="D276" s="296"/>
      <c r="E276" s="189"/>
    </row>
    <row r="277" spans="1:5" x14ac:dyDescent="0.35">
      <c r="A277" s="291">
        <v>3</v>
      </c>
      <c r="B277" s="292" t="s">
        <v>207</v>
      </c>
      <c r="C277" s="291"/>
      <c r="D277" s="296" t="s">
        <v>208</v>
      </c>
      <c r="E277" s="189"/>
    </row>
    <row r="278" spans="1:5" x14ac:dyDescent="0.35">
      <c r="A278" s="291" t="s">
        <v>218</v>
      </c>
      <c r="B278" s="292" t="s">
        <v>210</v>
      </c>
      <c r="C278" s="291" t="s">
        <v>7</v>
      </c>
      <c r="D278" s="296" t="s">
        <v>211</v>
      </c>
      <c r="E278" s="189"/>
    </row>
    <row r="279" spans="1:5" ht="43.5" customHeight="1" x14ac:dyDescent="0.35">
      <c r="A279" s="291" t="s">
        <v>219</v>
      </c>
      <c r="B279" s="292" t="s">
        <v>213</v>
      </c>
      <c r="C279" s="291" t="s">
        <v>7</v>
      </c>
      <c r="D279" s="296" t="s">
        <v>220</v>
      </c>
      <c r="E279" s="189"/>
    </row>
    <row r="280" spans="1:5" x14ac:dyDescent="0.35">
      <c r="A280" s="291" t="s">
        <v>221</v>
      </c>
      <c r="B280" s="292" t="s">
        <v>216</v>
      </c>
      <c r="C280" s="291" t="s">
        <v>7</v>
      </c>
      <c r="D280" s="194">
        <v>2018</v>
      </c>
      <c r="E280" s="190"/>
    </row>
    <row r="281" spans="1:5" x14ac:dyDescent="0.35">
      <c r="A281" s="291" t="s">
        <v>222</v>
      </c>
      <c r="B281" s="292" t="s">
        <v>274</v>
      </c>
      <c r="C281" s="291" t="s">
        <v>141</v>
      </c>
      <c r="D281" s="275">
        <f>'[14]2025'!$M$88</f>
        <v>19200</v>
      </c>
      <c r="E281" s="189"/>
    </row>
    <row r="282" spans="1:5" ht="6.5" customHeight="1" x14ac:dyDescent="0.35">
      <c r="A282" s="291"/>
      <c r="B282" s="292"/>
      <c r="C282" s="291"/>
      <c r="D282" s="296"/>
      <c r="E282" s="189"/>
    </row>
    <row r="283" spans="1:5" x14ac:dyDescent="0.35">
      <c r="A283" s="291">
        <v>4</v>
      </c>
      <c r="B283" s="292" t="s">
        <v>207</v>
      </c>
      <c r="C283" s="291"/>
      <c r="D283" s="296" t="s">
        <v>223</v>
      </c>
      <c r="E283" s="189"/>
    </row>
    <row r="284" spans="1:5" x14ac:dyDescent="0.35">
      <c r="A284" s="291" t="s">
        <v>159</v>
      </c>
      <c r="B284" s="292" t="s">
        <v>210</v>
      </c>
      <c r="C284" s="291" t="s">
        <v>7</v>
      </c>
      <c r="D284" s="296" t="s">
        <v>224</v>
      </c>
      <c r="E284" s="189"/>
    </row>
    <row r="285" spans="1:5" ht="15.5" customHeight="1" x14ac:dyDescent="0.35">
      <c r="A285" s="336" t="s">
        <v>160</v>
      </c>
      <c r="B285" s="359" t="s">
        <v>213</v>
      </c>
      <c r="C285" s="336" t="s">
        <v>7</v>
      </c>
      <c r="D285" s="382" t="s">
        <v>275</v>
      </c>
      <c r="E285" s="189"/>
    </row>
    <row r="286" spans="1:5" x14ac:dyDescent="0.35">
      <c r="A286" s="336"/>
      <c r="B286" s="359"/>
      <c r="C286" s="336"/>
      <c r="D286" s="382"/>
      <c r="E286" s="189"/>
    </row>
    <row r="287" spans="1:5" x14ac:dyDescent="0.35">
      <c r="A287" s="291" t="s">
        <v>162</v>
      </c>
      <c r="B287" s="292" t="s">
        <v>216</v>
      </c>
      <c r="C287" s="291" t="s">
        <v>7</v>
      </c>
      <c r="D287" s="194">
        <v>2015</v>
      </c>
      <c r="E287" s="190"/>
    </row>
    <row r="288" spans="1:5" ht="19" customHeight="1" x14ac:dyDescent="0.35">
      <c r="A288" s="291" t="s">
        <v>164</v>
      </c>
      <c r="B288" s="292" t="s">
        <v>274</v>
      </c>
      <c r="C288" s="291" t="s">
        <v>141</v>
      </c>
      <c r="D288" s="296">
        <v>42000</v>
      </c>
      <c r="E288" s="189"/>
    </row>
    <row r="289" spans="1:12" ht="6.5" customHeight="1" x14ac:dyDescent="0.35">
      <c r="A289" s="291"/>
      <c r="B289" s="292"/>
      <c r="C289" s="291"/>
      <c r="D289" s="296"/>
      <c r="E289" s="189"/>
    </row>
    <row r="290" spans="1:12" x14ac:dyDescent="0.35">
      <c r="A290" s="291">
        <v>5</v>
      </c>
      <c r="B290" s="292" t="s">
        <v>207</v>
      </c>
      <c r="C290" s="291"/>
      <c r="D290" s="296" t="s">
        <v>208</v>
      </c>
      <c r="E290" s="189"/>
    </row>
    <row r="291" spans="1:12" x14ac:dyDescent="0.35">
      <c r="A291" s="291" t="s">
        <v>166</v>
      </c>
      <c r="B291" s="292" t="s">
        <v>210</v>
      </c>
      <c r="C291" s="291" t="s">
        <v>7</v>
      </c>
      <c r="D291" s="296" t="s">
        <v>211</v>
      </c>
      <c r="E291" s="189"/>
    </row>
    <row r="292" spans="1:12" x14ac:dyDescent="0.35">
      <c r="A292" s="291" t="s">
        <v>167</v>
      </c>
      <c r="B292" s="292" t="s">
        <v>213</v>
      </c>
      <c r="C292" s="291" t="s">
        <v>7</v>
      </c>
      <c r="D292" s="296" t="s">
        <v>225</v>
      </c>
      <c r="E292" s="189"/>
    </row>
    <row r="293" spans="1:12" x14ac:dyDescent="0.35">
      <c r="A293" s="291" t="s">
        <v>168</v>
      </c>
      <c r="B293" s="292" t="s">
        <v>216</v>
      </c>
      <c r="C293" s="291" t="s">
        <v>7</v>
      </c>
      <c r="D293" s="194">
        <v>2011</v>
      </c>
      <c r="E293" s="190"/>
    </row>
    <row r="294" spans="1:12" x14ac:dyDescent="0.35">
      <c r="A294" s="291" t="s">
        <v>169</v>
      </c>
      <c r="B294" s="292" t="s">
        <v>274</v>
      </c>
      <c r="C294" s="291" t="s">
        <v>141</v>
      </c>
      <c r="D294" s="275">
        <f>'[14]2025'!$L$88</f>
        <v>24000</v>
      </c>
      <c r="E294" s="189"/>
    </row>
    <row r="296" spans="1:12" x14ac:dyDescent="0.35">
      <c r="A296" s="368" t="s">
        <v>226</v>
      </c>
      <c r="B296" s="368"/>
      <c r="C296" s="368"/>
      <c r="D296" s="368"/>
    </row>
    <row r="298" spans="1:12" x14ac:dyDescent="0.35">
      <c r="A298" s="102" t="s">
        <v>0</v>
      </c>
      <c r="B298" s="330" t="s">
        <v>2</v>
      </c>
      <c r="C298" s="330" t="s">
        <v>3</v>
      </c>
      <c r="D298" s="330" t="s">
        <v>4</v>
      </c>
      <c r="E298" s="274"/>
    </row>
    <row r="299" spans="1:12" x14ac:dyDescent="0.35">
      <c r="A299" s="285" t="s">
        <v>1</v>
      </c>
      <c r="B299" s="330"/>
      <c r="C299" s="330"/>
      <c r="D299" s="330"/>
      <c r="E299" s="274"/>
    </row>
    <row r="300" spans="1:12" x14ac:dyDescent="0.35">
      <c r="A300" s="369" t="s">
        <v>299</v>
      </c>
      <c r="B300" s="369"/>
      <c r="C300" s="369"/>
      <c r="D300" s="369"/>
      <c r="E300" s="196"/>
    </row>
    <row r="301" spans="1:12" x14ac:dyDescent="0.35">
      <c r="A301" s="291">
        <v>1</v>
      </c>
      <c r="B301" s="292" t="s">
        <v>227</v>
      </c>
      <c r="C301" s="291" t="s">
        <v>7</v>
      </c>
      <c r="D301" s="296" t="s">
        <v>281</v>
      </c>
      <c r="E301" s="189"/>
    </row>
    <row r="302" spans="1:12" ht="25" x14ac:dyDescent="0.35">
      <c r="A302" s="291">
        <v>2</v>
      </c>
      <c r="B302" s="292" t="s">
        <v>333</v>
      </c>
      <c r="C302" s="291" t="s">
        <v>141</v>
      </c>
      <c r="D302" s="296">
        <v>14.44</v>
      </c>
      <c r="E302" s="189"/>
    </row>
    <row r="303" spans="1:12" x14ac:dyDescent="0.35">
      <c r="A303" s="291">
        <v>3</v>
      </c>
      <c r="B303" s="292" t="s">
        <v>340</v>
      </c>
      <c r="C303" s="291" t="s">
        <v>141</v>
      </c>
      <c r="D303" s="251">
        <v>13999413.119999999</v>
      </c>
      <c r="E303" s="189"/>
      <c r="L303" s="57" t="s">
        <v>321</v>
      </c>
    </row>
    <row r="304" spans="1:12" x14ac:dyDescent="0.35">
      <c r="A304" s="291">
        <v>4</v>
      </c>
      <c r="B304" s="292" t="str">
        <f>'[8]К. Беляева 40Б'!$A$20</f>
        <v>Задолженность потребителей (на начало периода)</v>
      </c>
      <c r="C304" s="291" t="s">
        <v>141</v>
      </c>
      <c r="D304" s="251">
        <f>[21]Лист_1!$G$244</f>
        <v>1356159.69</v>
      </c>
      <c r="E304" s="189"/>
      <c r="L304" s="57" t="s">
        <v>321</v>
      </c>
    </row>
    <row r="305" spans="1:12" x14ac:dyDescent="0.35">
      <c r="A305" s="291">
        <v>5</v>
      </c>
      <c r="B305" s="292" t="str">
        <f>'[8]К. Беляева 40Б'!$A$21</f>
        <v>Задолженность потребителей (на конец периода)</v>
      </c>
      <c r="C305" s="291" t="s">
        <v>141</v>
      </c>
      <c r="D305" s="251">
        <f>[21]Лист_1!$J$244</f>
        <v>1257606.6100000001</v>
      </c>
      <c r="E305" s="189"/>
      <c r="L305" s="57" t="s">
        <v>321</v>
      </c>
    </row>
    <row r="306" spans="1:12" x14ac:dyDescent="0.35">
      <c r="A306" s="291">
        <v>6</v>
      </c>
      <c r="B306" s="292" t="str">
        <f>'[8]К. Беляева 40Б'!$A$22</f>
        <v>Начислено</v>
      </c>
      <c r="C306" s="291" t="s">
        <v>141</v>
      </c>
      <c r="D306" s="251">
        <f>[21]Лист_1!$H$244</f>
        <v>2261921.77</v>
      </c>
      <c r="E306" s="189"/>
      <c r="L306" s="57" t="s">
        <v>321</v>
      </c>
    </row>
    <row r="307" spans="1:12" x14ac:dyDescent="0.35">
      <c r="A307" s="291">
        <v>7</v>
      </c>
      <c r="B307" s="292" t="str">
        <f>'[8]К. Беляева 40Б'!$A$23</f>
        <v>Оплачено</v>
      </c>
      <c r="C307" s="291" t="s">
        <v>141</v>
      </c>
      <c r="D307" s="251">
        <f>[21]Лист_1!$I$244</f>
        <v>2360474.85</v>
      </c>
      <c r="E307" s="189"/>
    </row>
    <row r="308" spans="1:12" x14ac:dyDescent="0.35">
      <c r="A308" s="291">
        <v>8</v>
      </c>
      <c r="B308" s="292" t="s">
        <v>341</v>
      </c>
      <c r="C308" s="291" t="s">
        <v>141</v>
      </c>
      <c r="D308" s="251">
        <f>'[22]Остатки на счете'!$E$8</f>
        <v>7761607.8600000003</v>
      </c>
      <c r="E308" s="189"/>
    </row>
    <row r="309" spans="1:12" x14ac:dyDescent="0.35">
      <c r="A309" s="291">
        <v>9</v>
      </c>
      <c r="B309" s="292" t="s">
        <v>342</v>
      </c>
      <c r="C309" s="291" t="s">
        <v>141</v>
      </c>
      <c r="D309" s="251">
        <f>'[22]Остатки на счете'!$D$7</f>
        <v>9822395.2899999991</v>
      </c>
      <c r="E309" s="189"/>
    </row>
    <row r="310" spans="1:12" ht="17" customHeight="1" x14ac:dyDescent="0.35"/>
    <row r="311" spans="1:12" hidden="1" x14ac:dyDescent="0.35">
      <c r="A311" s="368" t="s">
        <v>228</v>
      </c>
      <c r="B311" s="368"/>
      <c r="C311" s="368"/>
      <c r="D311" s="368"/>
    </row>
    <row r="312" spans="1:12" hidden="1" x14ac:dyDescent="0.35">
      <c r="A312" s="138"/>
    </row>
    <row r="313" spans="1:12" hidden="1" x14ac:dyDescent="0.35">
      <c r="A313" s="132" t="s">
        <v>0</v>
      </c>
      <c r="B313" s="360" t="s">
        <v>2</v>
      </c>
      <c r="C313" s="360" t="s">
        <v>3</v>
      </c>
      <c r="D313" s="360" t="s">
        <v>4</v>
      </c>
      <c r="E313" s="274"/>
    </row>
    <row r="314" spans="1:12" ht="16" hidden="1" thickBot="1" x14ac:dyDescent="0.4">
      <c r="A314" s="133" t="s">
        <v>1</v>
      </c>
      <c r="B314" s="361"/>
      <c r="C314" s="361"/>
      <c r="D314" s="361"/>
      <c r="E314" s="274"/>
    </row>
    <row r="315" spans="1:12" ht="16" hidden="1" x14ac:dyDescent="0.35">
      <c r="A315" s="86" t="s">
        <v>5</v>
      </c>
      <c r="B315" s="139" t="s">
        <v>6</v>
      </c>
      <c r="C315" s="86" t="s">
        <v>7</v>
      </c>
      <c r="D315" s="276">
        <v>43851</v>
      </c>
      <c r="E315" s="277"/>
    </row>
    <row r="316" spans="1:12" ht="31" hidden="1" x14ac:dyDescent="0.35">
      <c r="A316" s="86" t="s">
        <v>5</v>
      </c>
      <c r="B316" s="87" t="s">
        <v>229</v>
      </c>
      <c r="C316" s="86" t="s">
        <v>7</v>
      </c>
      <c r="D316" s="140" t="s">
        <v>230</v>
      </c>
      <c r="E316" s="63"/>
    </row>
    <row r="317" spans="1:12" ht="31.5" hidden="1" thickBot="1" x14ac:dyDescent="0.4">
      <c r="A317" s="89" t="s">
        <v>9</v>
      </c>
      <c r="B317" s="90" t="s">
        <v>229</v>
      </c>
      <c r="C317" s="89" t="s">
        <v>7</v>
      </c>
      <c r="D317" s="141" t="s">
        <v>231</v>
      </c>
      <c r="E317" s="63"/>
    </row>
    <row r="318" spans="1:12" ht="31.5" hidden="1" thickBot="1" x14ac:dyDescent="0.4">
      <c r="A318" s="134" t="s">
        <v>12</v>
      </c>
      <c r="B318" s="135" t="s">
        <v>229</v>
      </c>
      <c r="C318" s="134" t="s">
        <v>7</v>
      </c>
      <c r="D318" s="142" t="s">
        <v>232</v>
      </c>
      <c r="E318" s="63"/>
    </row>
    <row r="319" spans="1:12" ht="31.5" hidden="1" thickBot="1" x14ac:dyDescent="0.4">
      <c r="A319" s="134" t="s">
        <v>15</v>
      </c>
      <c r="B319" s="135" t="s">
        <v>229</v>
      </c>
      <c r="C319" s="134" t="s">
        <v>7</v>
      </c>
      <c r="D319" s="142" t="s">
        <v>233</v>
      </c>
      <c r="E319" s="63"/>
    </row>
    <row r="320" spans="1:12" ht="31.5" hidden="1" thickBot="1" x14ac:dyDescent="0.4">
      <c r="A320" s="134" t="s">
        <v>18</v>
      </c>
      <c r="B320" s="143" t="s">
        <v>229</v>
      </c>
      <c r="C320" s="134" t="s">
        <v>7</v>
      </c>
      <c r="D320" s="142" t="s">
        <v>234</v>
      </c>
      <c r="E320" s="63"/>
    </row>
    <row r="321" spans="1:19" ht="31.5" hidden="1" thickBot="1" x14ac:dyDescent="0.4">
      <c r="A321" s="134" t="s">
        <v>21</v>
      </c>
      <c r="B321" s="143" t="s">
        <v>229</v>
      </c>
      <c r="C321" s="134" t="s">
        <v>7</v>
      </c>
      <c r="D321" s="142" t="s">
        <v>235</v>
      </c>
      <c r="E321" s="63"/>
    </row>
    <row r="322" spans="1:19" ht="31.5" hidden="1" thickBot="1" x14ac:dyDescent="0.4">
      <c r="A322" s="134" t="s">
        <v>23</v>
      </c>
      <c r="B322" s="143" t="s">
        <v>229</v>
      </c>
      <c r="C322" s="134" t="s">
        <v>7</v>
      </c>
      <c r="D322" s="142" t="s">
        <v>236</v>
      </c>
      <c r="E322" s="63"/>
    </row>
    <row r="323" spans="1:19" ht="31.5" hidden="1" thickBot="1" x14ac:dyDescent="0.4">
      <c r="A323" s="134" t="s">
        <v>26</v>
      </c>
      <c r="B323" s="143" t="s">
        <v>229</v>
      </c>
      <c r="C323" s="134" t="s">
        <v>7</v>
      </c>
      <c r="D323" s="142" t="s">
        <v>237</v>
      </c>
      <c r="E323" s="63"/>
    </row>
    <row r="324" spans="1:19" ht="16" hidden="1" thickBot="1" x14ac:dyDescent="0.4">
      <c r="A324" s="134"/>
      <c r="B324" s="135"/>
      <c r="C324" s="134"/>
      <c r="D324" s="142"/>
      <c r="E324" s="63"/>
    </row>
    <row r="326" spans="1:19" ht="16" x14ac:dyDescent="0.4">
      <c r="A326" s="384" t="s">
        <v>238</v>
      </c>
      <c r="B326" s="384"/>
      <c r="C326" s="384"/>
      <c r="D326" s="384"/>
    </row>
    <row r="327" spans="1:19" x14ac:dyDescent="0.35">
      <c r="A327" s="287" t="s">
        <v>0</v>
      </c>
      <c r="B327" s="316" t="s">
        <v>2</v>
      </c>
      <c r="C327" s="316" t="s">
        <v>3</v>
      </c>
      <c r="D327" s="316" t="s">
        <v>4</v>
      </c>
    </row>
    <row r="328" spans="1:19" x14ac:dyDescent="0.35">
      <c r="A328" s="287" t="s">
        <v>1</v>
      </c>
      <c r="B328" s="316"/>
      <c r="C328" s="316"/>
      <c r="D328" s="316"/>
    </row>
    <row r="329" spans="1:19" ht="16" x14ac:dyDescent="0.35">
      <c r="A329" s="289" t="s">
        <v>5</v>
      </c>
      <c r="B329" s="290" t="s">
        <v>6</v>
      </c>
      <c r="C329" s="289" t="s">
        <v>7</v>
      </c>
      <c r="D329" s="119">
        <v>46073</v>
      </c>
    </row>
    <row r="330" spans="1:19" ht="16" x14ac:dyDescent="0.35">
      <c r="A330" s="289" t="s">
        <v>9</v>
      </c>
      <c r="B330" s="290" t="s">
        <v>239</v>
      </c>
      <c r="C330" s="289" t="s">
        <v>7</v>
      </c>
      <c r="D330" s="119">
        <v>45658</v>
      </c>
    </row>
    <row r="331" spans="1:19" ht="16" x14ac:dyDescent="0.35">
      <c r="A331" s="289" t="s">
        <v>12</v>
      </c>
      <c r="B331" s="290" t="s">
        <v>240</v>
      </c>
      <c r="C331" s="289" t="s">
        <v>7</v>
      </c>
      <c r="D331" s="119">
        <v>46022</v>
      </c>
    </row>
    <row r="332" spans="1:19" ht="30" customHeight="1" x14ac:dyDescent="0.35">
      <c r="A332" s="326" t="s">
        <v>241</v>
      </c>
      <c r="B332" s="326"/>
      <c r="C332" s="326"/>
      <c r="D332" s="326"/>
    </row>
    <row r="333" spans="1:19" ht="31" x14ac:dyDescent="0.35">
      <c r="A333" s="289" t="s">
        <v>15</v>
      </c>
      <c r="B333" s="290" t="s">
        <v>451</v>
      </c>
      <c r="C333" s="289" t="s">
        <v>141</v>
      </c>
      <c r="D333" s="173">
        <f>'[4]К. Беляева 40Д'!$D$27</f>
        <v>-74606.051106653758</v>
      </c>
    </row>
    <row r="334" spans="1:19" ht="16" x14ac:dyDescent="0.35">
      <c r="A334" s="289" t="s">
        <v>18</v>
      </c>
      <c r="B334" s="290" t="s">
        <v>243</v>
      </c>
      <c r="C334" s="289" t="s">
        <v>141</v>
      </c>
      <c r="D334" s="174">
        <v>0</v>
      </c>
    </row>
    <row r="335" spans="1:19" ht="16" x14ac:dyDescent="0.35">
      <c r="A335" s="289" t="s">
        <v>21</v>
      </c>
      <c r="B335" s="288" t="s">
        <v>244</v>
      </c>
      <c r="C335" s="287" t="s">
        <v>141</v>
      </c>
      <c r="D335" s="173">
        <f>[13]Лист_1!$BF$404</f>
        <v>0</v>
      </c>
      <c r="S335" s="57" t="s">
        <v>321</v>
      </c>
    </row>
    <row r="336" spans="1:19" x14ac:dyDescent="0.35">
      <c r="A336" s="317" t="s">
        <v>23</v>
      </c>
      <c r="B336" s="326" t="s">
        <v>245</v>
      </c>
      <c r="C336" s="316" t="s">
        <v>141</v>
      </c>
      <c r="D336" s="373">
        <f>[20]Лист_1!$U$408</f>
        <v>3999755.86</v>
      </c>
    </row>
    <row r="337" spans="1:61" x14ac:dyDescent="0.35">
      <c r="A337" s="317"/>
      <c r="B337" s="326"/>
      <c r="C337" s="316"/>
      <c r="D337" s="374"/>
    </row>
    <row r="338" spans="1:61" x14ac:dyDescent="0.35">
      <c r="A338" s="289" t="s">
        <v>26</v>
      </c>
      <c r="B338" s="145" t="s">
        <v>282</v>
      </c>
      <c r="C338" s="144" t="s">
        <v>141</v>
      </c>
      <c r="D338" s="68">
        <f>[20]Лист_1!$U$410</f>
        <v>3299994.2672720156</v>
      </c>
    </row>
    <row r="339" spans="1:61" x14ac:dyDescent="0.35">
      <c r="A339" s="289" t="s">
        <v>29</v>
      </c>
      <c r="B339" s="145" t="s">
        <v>283</v>
      </c>
      <c r="C339" s="144" t="s">
        <v>141</v>
      </c>
      <c r="D339" s="68">
        <f>[20]Лист_1!$U$411</f>
        <v>699761.59272798419</v>
      </c>
    </row>
    <row r="340" spans="1:61" x14ac:dyDescent="0.35">
      <c r="A340" s="316" t="s">
        <v>31</v>
      </c>
      <c r="B340" s="326" t="s">
        <v>246</v>
      </c>
      <c r="C340" s="316" t="s">
        <v>141</v>
      </c>
      <c r="D340" s="372">
        <f>[20]Лист_1!$AT$419</f>
        <v>11515164.760000002</v>
      </c>
    </row>
    <row r="341" spans="1:61" ht="7.5" customHeight="1" x14ac:dyDescent="0.35">
      <c r="A341" s="316"/>
      <c r="B341" s="326"/>
      <c r="C341" s="316"/>
      <c r="D341" s="372"/>
    </row>
    <row r="342" spans="1:61" hidden="1" x14ac:dyDescent="0.35">
      <c r="A342" s="316"/>
      <c r="B342" s="326"/>
      <c r="C342" s="316"/>
      <c r="D342" s="372"/>
    </row>
    <row r="343" spans="1:61" x14ac:dyDescent="0.35">
      <c r="A343" s="317" t="s">
        <v>34</v>
      </c>
      <c r="B343" s="315" t="s">
        <v>247</v>
      </c>
      <c r="C343" s="317" t="s">
        <v>141</v>
      </c>
      <c r="D343" s="372">
        <f>D340</f>
        <v>11515164.760000002</v>
      </c>
      <c r="BF343" s="57" t="s">
        <v>459</v>
      </c>
    </row>
    <row r="344" spans="1:61" ht="2.5" customHeight="1" x14ac:dyDescent="0.35">
      <c r="A344" s="317"/>
      <c r="B344" s="315"/>
      <c r="C344" s="317"/>
      <c r="D344" s="372"/>
    </row>
    <row r="345" spans="1:61" x14ac:dyDescent="0.35">
      <c r="A345" s="289" t="s">
        <v>36</v>
      </c>
      <c r="B345" s="290" t="s">
        <v>330</v>
      </c>
      <c r="C345" s="289" t="s">
        <v>141</v>
      </c>
      <c r="D345" s="85">
        <f>[20]Лист_1!$AT$414</f>
        <v>437568.34999999974</v>
      </c>
      <c r="T345" s="58" t="e">
        <f>D343-#REF!-#REF!-#REF!</f>
        <v>#REF!</v>
      </c>
    </row>
    <row r="346" spans="1:61" x14ac:dyDescent="0.35">
      <c r="A346" s="289" t="s">
        <v>38</v>
      </c>
      <c r="B346" s="290" t="s">
        <v>289</v>
      </c>
      <c r="C346" s="289" t="s">
        <v>141</v>
      </c>
      <c r="D346" s="286">
        <f>[20]Лист_1!$AT$416</f>
        <v>4244639.4900000012</v>
      </c>
      <c r="BF346" s="58">
        <f>(D345+D346+D348+D350+D355+D356+D357+D358+D359)+D360</f>
        <v>10936905.299999999</v>
      </c>
      <c r="BG346" s="58">
        <f>BF346-D343</f>
        <v>-578259.46000000276</v>
      </c>
    </row>
    <row r="347" spans="1:61" x14ac:dyDescent="0.35">
      <c r="A347" s="175" t="s">
        <v>40</v>
      </c>
      <c r="B347" s="290" t="s">
        <v>248</v>
      </c>
      <c r="C347" s="289" t="s">
        <v>141</v>
      </c>
      <c r="D347" s="286">
        <v>0</v>
      </c>
      <c r="X347" s="58" t="e">
        <f>D345+D346+D347+#REF!</f>
        <v>#REF!</v>
      </c>
    </row>
    <row r="348" spans="1:61" x14ac:dyDescent="0.35">
      <c r="A348" s="175" t="s">
        <v>42</v>
      </c>
      <c r="B348" s="290" t="s">
        <v>457</v>
      </c>
      <c r="C348" s="289" t="str">
        <f>C347</f>
        <v>руб.</v>
      </c>
      <c r="D348" s="68">
        <f>D294+D288+D281+D275+D269</f>
        <v>92400</v>
      </c>
    </row>
    <row r="349" spans="1:61" x14ac:dyDescent="0.35">
      <c r="A349" s="175" t="s">
        <v>44</v>
      </c>
      <c r="B349" s="306" t="s">
        <v>435</v>
      </c>
      <c r="C349" s="307"/>
      <c r="D349" s="308"/>
      <c r="BI349" s="57" t="s">
        <v>452</v>
      </c>
    </row>
    <row r="350" spans="1:61" x14ac:dyDescent="0.35">
      <c r="A350" s="175" t="s">
        <v>458</v>
      </c>
      <c r="B350" s="146" t="s">
        <v>475</v>
      </c>
      <c r="C350" s="289" t="str">
        <f>C347</f>
        <v>руб.</v>
      </c>
      <c r="D350" s="286">
        <f>[20]Лист_1!$AT$408</f>
        <v>3907520.19</v>
      </c>
      <c r="P350" s="198">
        <f>H129</f>
        <v>694341.90720000002</v>
      </c>
      <c r="BI350" s="57" t="s">
        <v>453</v>
      </c>
    </row>
    <row r="351" spans="1:61" ht="31" x14ac:dyDescent="0.35">
      <c r="A351" s="175" t="s">
        <v>464</v>
      </c>
      <c r="B351" s="146" t="s">
        <v>462</v>
      </c>
      <c r="C351" s="289" t="str">
        <f>C350</f>
        <v>руб.</v>
      </c>
      <c r="D351" s="286">
        <f>M125</f>
        <v>2326899.7248</v>
      </c>
    </row>
    <row r="352" spans="1:61" ht="31" x14ac:dyDescent="0.35">
      <c r="A352" s="175" t="s">
        <v>465</v>
      </c>
      <c r="B352" s="146" t="s">
        <v>456</v>
      </c>
      <c r="C352" s="289" t="str">
        <f>C351</f>
        <v>руб.</v>
      </c>
      <c r="D352" s="286">
        <f>H101</f>
        <v>82407.355687679999</v>
      </c>
      <c r="O352" s="58">
        <f>D351+D352+D353+D354</f>
        <v>6316827.2704876801</v>
      </c>
      <c r="P352" s="58">
        <f>[13]Лист_1!$U$402</f>
        <v>3877306.08</v>
      </c>
      <c r="R352" s="57" t="s">
        <v>480</v>
      </c>
      <c r="BI352" s="57" t="s">
        <v>454</v>
      </c>
    </row>
    <row r="353" spans="1:61" ht="46.5" x14ac:dyDescent="0.35">
      <c r="A353" s="175" t="s">
        <v>466</v>
      </c>
      <c r="B353" s="146" t="s">
        <v>463</v>
      </c>
      <c r="C353" s="289" t="str">
        <f>C352</f>
        <v>руб.</v>
      </c>
      <c r="D353" s="286">
        <f>[20]Лист_1!$AT$410</f>
        <v>3223895.3270136989</v>
      </c>
      <c r="O353" s="58">
        <f>D350-O352</f>
        <v>-2409307.0804876802</v>
      </c>
      <c r="P353" s="58">
        <f>D350-P352</f>
        <v>30214.10999999987</v>
      </c>
      <c r="BF353" s="58">
        <f>D351+D352+D353+D354</f>
        <v>6316827.2704876801</v>
      </c>
      <c r="BG353" s="57">
        <v>4120303.1052187206</v>
      </c>
      <c r="BI353" s="57" t="s">
        <v>455</v>
      </c>
    </row>
    <row r="354" spans="1:61" x14ac:dyDescent="0.35">
      <c r="A354" s="175" t="s">
        <v>467</v>
      </c>
      <c r="B354" s="146" t="s">
        <v>460</v>
      </c>
      <c r="C354" s="289" t="str">
        <f>C353</f>
        <v>руб.</v>
      </c>
      <c r="D354" s="286">
        <f>[20]Лист_1!$AT$411</f>
        <v>683624.8629863013</v>
      </c>
      <c r="BF354" s="58">
        <f>BF353-D350</f>
        <v>2409307.0804876802</v>
      </c>
      <c r="BG354" s="58">
        <f>BG353-D350</f>
        <v>212782.91521872068</v>
      </c>
    </row>
    <row r="355" spans="1:61" x14ac:dyDescent="0.35">
      <c r="A355" s="175" t="s">
        <v>468</v>
      </c>
      <c r="B355" s="146" t="s">
        <v>432</v>
      </c>
      <c r="C355" s="289" t="s">
        <v>141</v>
      </c>
      <c r="D355" s="85">
        <f>[20]Лист_1!$AN$408</f>
        <v>2002432</v>
      </c>
    </row>
    <row r="356" spans="1:61" x14ac:dyDescent="0.35">
      <c r="A356" s="175" t="s">
        <v>469</v>
      </c>
      <c r="B356" s="146" t="s">
        <v>433</v>
      </c>
      <c r="C356" s="289" t="s">
        <v>141</v>
      </c>
      <c r="D356" s="286">
        <f>[20]Лист_1!$AO$408</f>
        <v>133456.04</v>
      </c>
      <c r="BH356" s="57">
        <f>D353/12</f>
        <v>268657.94391780824</v>
      </c>
    </row>
    <row r="357" spans="1:61" x14ac:dyDescent="0.35">
      <c r="A357" s="175" t="s">
        <v>470</v>
      </c>
      <c r="B357" s="146" t="s">
        <v>447</v>
      </c>
      <c r="C357" s="289" t="s">
        <v>141</v>
      </c>
      <c r="D357" s="286">
        <f>[20]Лист_1!$AQ$408</f>
        <v>45811.19</v>
      </c>
    </row>
    <row r="358" spans="1:61" x14ac:dyDescent="0.35">
      <c r="A358" s="175" t="s">
        <v>471</v>
      </c>
      <c r="B358" s="146" t="s">
        <v>474</v>
      </c>
      <c r="C358" s="289" t="s">
        <v>141</v>
      </c>
      <c r="D358" s="286">
        <f>[20]Лист_1!$AS$408</f>
        <v>622003.84</v>
      </c>
    </row>
    <row r="359" spans="1:61" x14ac:dyDescent="0.35">
      <c r="A359" s="175" t="s">
        <v>472</v>
      </c>
      <c r="B359" s="146" t="s">
        <v>434</v>
      </c>
      <c r="C359" s="289" t="s">
        <v>141</v>
      </c>
      <c r="D359" s="286">
        <f>[20]Лист_1!$AV$408</f>
        <v>20772</v>
      </c>
    </row>
    <row r="360" spans="1:61" ht="29" customHeight="1" x14ac:dyDescent="0.35">
      <c r="A360" s="175" t="s">
        <v>473</v>
      </c>
      <c r="B360" s="290" t="s">
        <v>479</v>
      </c>
      <c r="C360" s="289" t="s">
        <v>141</v>
      </c>
      <c r="D360" s="286">
        <f>[20]Лист_1!$BC$408</f>
        <v>-569697.80000000005</v>
      </c>
    </row>
    <row r="361" spans="1:61" x14ac:dyDescent="0.35">
      <c r="A361" s="289" t="s">
        <v>46</v>
      </c>
      <c r="B361" s="290" t="s">
        <v>461</v>
      </c>
      <c r="C361" s="289" t="s">
        <v>141</v>
      </c>
      <c r="D361" s="286">
        <f>[20]Лист_1!$BH$406</f>
        <v>1810876.23</v>
      </c>
    </row>
    <row r="362" spans="1:61" ht="31" x14ac:dyDescent="0.35">
      <c r="A362" s="289" t="s">
        <v>49</v>
      </c>
      <c r="B362" s="290" t="s">
        <v>301</v>
      </c>
      <c r="C362" s="289" t="s">
        <v>141</v>
      </c>
      <c r="D362" s="68">
        <f>'[4]К. Беляева 40Д'!$D$91</f>
        <v>-374639.72512035246</v>
      </c>
      <c r="J362" s="57" t="s">
        <v>331</v>
      </c>
    </row>
    <row r="363" spans="1:61" x14ac:dyDescent="0.35">
      <c r="A363" s="289" t="s">
        <v>51</v>
      </c>
      <c r="B363" s="290" t="s">
        <v>243</v>
      </c>
      <c r="C363" s="289" t="s">
        <v>141</v>
      </c>
      <c r="D363" s="56">
        <v>0</v>
      </c>
    </row>
    <row r="364" spans="1:61" ht="16" hidden="1" x14ac:dyDescent="0.35">
      <c r="A364" s="147" t="s">
        <v>51</v>
      </c>
      <c r="B364" s="148" t="s">
        <v>251</v>
      </c>
      <c r="C364" s="149" t="s">
        <v>141</v>
      </c>
      <c r="D364" s="150">
        <v>7791.29</v>
      </c>
    </row>
    <row r="365" spans="1:61" hidden="1" x14ac:dyDescent="0.35"/>
    <row r="366" spans="1:61" hidden="1" x14ac:dyDescent="0.35"/>
    <row r="367" spans="1:61" s="64" customFormat="1" ht="25.5" customHeight="1" x14ac:dyDescent="0.35">
      <c r="A367" s="331" t="s">
        <v>253</v>
      </c>
      <c r="B367" s="331"/>
      <c r="C367" s="331"/>
      <c r="D367" s="331"/>
    </row>
    <row r="368" spans="1:61" s="64" customFormat="1" hidden="1" x14ac:dyDescent="0.35">
      <c r="A368" s="151"/>
      <c r="B368" s="151"/>
      <c r="C368" s="151"/>
      <c r="D368" s="151"/>
    </row>
    <row r="369" spans="1:11" s="64" customFormat="1" x14ac:dyDescent="0.35">
      <c r="A369" s="289">
        <v>1</v>
      </c>
      <c r="B369" s="290" t="s">
        <v>254</v>
      </c>
      <c r="C369" s="289" t="s">
        <v>33</v>
      </c>
      <c r="D369" s="91">
        <v>12</v>
      </c>
      <c r="K369" s="64" t="s">
        <v>322</v>
      </c>
    </row>
    <row r="370" spans="1:11" s="64" customFormat="1" x14ac:dyDescent="0.35">
      <c r="A370" s="289"/>
      <c r="B370" s="290" t="s">
        <v>442</v>
      </c>
      <c r="C370" s="289"/>
      <c r="D370" s="85">
        <v>30210</v>
      </c>
    </row>
    <row r="371" spans="1:11" s="64" customFormat="1" x14ac:dyDescent="0.35">
      <c r="A371" s="289">
        <v>2</v>
      </c>
      <c r="B371" s="290" t="s">
        <v>255</v>
      </c>
      <c r="C371" s="289" t="s">
        <v>33</v>
      </c>
      <c r="D371" s="91">
        <v>0</v>
      </c>
    </row>
    <row r="372" spans="1:11" s="64" customFormat="1" ht="31" x14ac:dyDescent="0.35">
      <c r="A372" s="289">
        <v>3</v>
      </c>
      <c r="B372" s="290" t="s">
        <v>256</v>
      </c>
      <c r="C372" s="289" t="s">
        <v>141</v>
      </c>
      <c r="D372" s="91">
        <v>0</v>
      </c>
    </row>
  </sheetData>
  <mergeCells count="215">
    <mergeCell ref="A1:D1"/>
    <mergeCell ref="A10:D10"/>
    <mergeCell ref="A12:D12"/>
    <mergeCell ref="A33:D33"/>
    <mergeCell ref="A38:D38"/>
    <mergeCell ref="B39:B40"/>
    <mergeCell ref="C39:C40"/>
    <mergeCell ref="D39:D40"/>
    <mergeCell ref="A2:D2"/>
    <mergeCell ref="A3:D3"/>
    <mergeCell ref="B4:B5"/>
    <mergeCell ref="C4:C5"/>
    <mergeCell ref="D4:D5"/>
    <mergeCell ref="A7:D7"/>
    <mergeCell ref="D134:H134"/>
    <mergeCell ref="D135:H135"/>
    <mergeCell ref="A57:D57"/>
    <mergeCell ref="A67:D67"/>
    <mergeCell ref="A74:D74"/>
    <mergeCell ref="A81:D81"/>
    <mergeCell ref="A88:D88"/>
    <mergeCell ref="A90:D90"/>
    <mergeCell ref="A42:D42"/>
    <mergeCell ref="A44:D44"/>
    <mergeCell ref="A47:D47"/>
    <mergeCell ref="A49:D49"/>
    <mergeCell ref="A52:D52"/>
    <mergeCell ref="A54:D54"/>
    <mergeCell ref="A92:D92"/>
    <mergeCell ref="A94:D94"/>
    <mergeCell ref="A96:D96"/>
    <mergeCell ref="B99:B100"/>
    <mergeCell ref="C99:C100"/>
    <mergeCell ref="B131:B132"/>
    <mergeCell ref="C131:C132"/>
    <mergeCell ref="D131:H132"/>
    <mergeCell ref="D133:H133"/>
    <mergeCell ref="D136:H136"/>
    <mergeCell ref="D137:H137"/>
    <mergeCell ref="D138:H138"/>
    <mergeCell ref="B139:B140"/>
    <mergeCell ref="C139:C140"/>
    <mergeCell ref="D139:H139"/>
    <mergeCell ref="D140:H140"/>
    <mergeCell ref="D141:H141"/>
    <mergeCell ref="D142:H142"/>
    <mergeCell ref="D143:H143"/>
    <mergeCell ref="D144:H144"/>
    <mergeCell ref="B145:B146"/>
    <mergeCell ref="C145:C146"/>
    <mergeCell ref="D145:H145"/>
    <mergeCell ref="D146:H146"/>
    <mergeCell ref="D147:H147"/>
    <mergeCell ref="D148:H148"/>
    <mergeCell ref="D149:H149"/>
    <mergeCell ref="D150:H150"/>
    <mergeCell ref="B151:B152"/>
    <mergeCell ref="C151:C152"/>
    <mergeCell ref="D151:H151"/>
    <mergeCell ref="D152:H152"/>
    <mergeCell ref="D153:H153"/>
    <mergeCell ref="D154:H154"/>
    <mergeCell ref="D155:H155"/>
    <mergeCell ref="D156:H156"/>
    <mergeCell ref="B157:B158"/>
    <mergeCell ref="C157:C158"/>
    <mergeCell ref="D157:H157"/>
    <mergeCell ref="D158:H158"/>
    <mergeCell ref="A166:H166"/>
    <mergeCell ref="D167:H167"/>
    <mergeCell ref="D168:H168"/>
    <mergeCell ref="D169:H169"/>
    <mergeCell ref="D170:H170"/>
    <mergeCell ref="D161:H161"/>
    <mergeCell ref="D162:H162"/>
    <mergeCell ref="D163:H163"/>
    <mergeCell ref="D164:H164"/>
    <mergeCell ref="D165:H165"/>
    <mergeCell ref="B159:B160"/>
    <mergeCell ref="C159:C160"/>
    <mergeCell ref="D159:H159"/>
    <mergeCell ref="D160:H160"/>
    <mergeCell ref="D171:H171"/>
    <mergeCell ref="D172:H172"/>
    <mergeCell ref="D173:H173"/>
    <mergeCell ref="D174:H174"/>
    <mergeCell ref="D175:H175"/>
    <mergeCell ref="D176:H176"/>
    <mergeCell ref="D177:H177"/>
    <mergeCell ref="D178:H178"/>
    <mergeCell ref="D179:H179"/>
    <mergeCell ref="A190:A191"/>
    <mergeCell ref="B190:B191"/>
    <mergeCell ref="C190:C191"/>
    <mergeCell ref="D190:H190"/>
    <mergeCell ref="D191:H191"/>
    <mergeCell ref="D192:H192"/>
    <mergeCell ref="D180:H180"/>
    <mergeCell ref="D181:H181"/>
    <mergeCell ref="D182:H182"/>
    <mergeCell ref="B183:B184"/>
    <mergeCell ref="C183:C184"/>
    <mergeCell ref="D183:H183"/>
    <mergeCell ref="D184:H184"/>
    <mergeCell ref="D185:H185"/>
    <mergeCell ref="D186:H186"/>
    <mergeCell ref="D196:H196"/>
    <mergeCell ref="D197:H197"/>
    <mergeCell ref="D198:H198"/>
    <mergeCell ref="D199:H199"/>
    <mergeCell ref="B200:B201"/>
    <mergeCell ref="C200:C201"/>
    <mergeCell ref="D200:H200"/>
    <mergeCell ref="D201:H201"/>
    <mergeCell ref="D187:H187"/>
    <mergeCell ref="D188:H188"/>
    <mergeCell ref="D189:H189"/>
    <mergeCell ref="D193:H193"/>
    <mergeCell ref="D194:H194"/>
    <mergeCell ref="D195:H195"/>
    <mergeCell ref="B214:B215"/>
    <mergeCell ref="C214:C215"/>
    <mergeCell ref="D214:H214"/>
    <mergeCell ref="D215:H215"/>
    <mergeCell ref="D216:H216"/>
    <mergeCell ref="D217:H217"/>
    <mergeCell ref="D202:H202"/>
    <mergeCell ref="D203:H203"/>
    <mergeCell ref="D204:H204"/>
    <mergeCell ref="D205:H205"/>
    <mergeCell ref="D206:H206"/>
    <mergeCell ref="D207:H207"/>
    <mergeCell ref="D208:H208"/>
    <mergeCell ref="D209:H209"/>
    <mergeCell ref="D210:H210"/>
    <mergeCell ref="D211:H211"/>
    <mergeCell ref="D212:H212"/>
    <mergeCell ref="D213:H213"/>
    <mergeCell ref="D227:H227"/>
    <mergeCell ref="D228:H228"/>
    <mergeCell ref="D229:H229"/>
    <mergeCell ref="D230:H230"/>
    <mergeCell ref="D218:H218"/>
    <mergeCell ref="D219:H219"/>
    <mergeCell ref="D220:H220"/>
    <mergeCell ref="D221:H221"/>
    <mergeCell ref="D222:H222"/>
    <mergeCell ref="D223:H223"/>
    <mergeCell ref="D224:H224"/>
    <mergeCell ref="D225:H225"/>
    <mergeCell ref="D226:H226"/>
    <mergeCell ref="D231:H231"/>
    <mergeCell ref="D232:H232"/>
    <mergeCell ref="D233:H233"/>
    <mergeCell ref="D234:H234"/>
    <mergeCell ref="D235:H235"/>
    <mergeCell ref="D236:H236"/>
    <mergeCell ref="B237:H237"/>
    <mergeCell ref="D238:H238"/>
    <mergeCell ref="D239:H239"/>
    <mergeCell ref="D240:H240"/>
    <mergeCell ref="D241:H241"/>
    <mergeCell ref="D242:H242"/>
    <mergeCell ref="D243:H243"/>
    <mergeCell ref="D244:H244"/>
    <mergeCell ref="D245:H245"/>
    <mergeCell ref="D248:H248"/>
    <mergeCell ref="D249:H249"/>
    <mergeCell ref="D250:H250"/>
    <mergeCell ref="D251:H251"/>
    <mergeCell ref="D252:H252"/>
    <mergeCell ref="D253:H253"/>
    <mergeCell ref="D254:H254"/>
    <mergeCell ref="D255:H255"/>
    <mergeCell ref="D256:H256"/>
    <mergeCell ref="D257:H257"/>
    <mergeCell ref="D258:H258"/>
    <mergeCell ref="D259:H259"/>
    <mergeCell ref="B313:B314"/>
    <mergeCell ref="C313:C314"/>
    <mergeCell ref="D313:D314"/>
    <mergeCell ref="A326:D326"/>
    <mergeCell ref="A261:D261"/>
    <mergeCell ref="B263:B264"/>
    <mergeCell ref="C263:C264"/>
    <mergeCell ref="D263:D264"/>
    <mergeCell ref="A285:A286"/>
    <mergeCell ref="B285:B286"/>
    <mergeCell ref="C285:C286"/>
    <mergeCell ref="D285:D286"/>
    <mergeCell ref="A296:D296"/>
    <mergeCell ref="A343:A344"/>
    <mergeCell ref="B343:B344"/>
    <mergeCell ref="C343:C344"/>
    <mergeCell ref="D343:D344"/>
    <mergeCell ref="B349:D349"/>
    <mergeCell ref="A367:D367"/>
    <mergeCell ref="A98:H98"/>
    <mergeCell ref="B327:B328"/>
    <mergeCell ref="C327:C328"/>
    <mergeCell ref="D327:D328"/>
    <mergeCell ref="A332:D332"/>
    <mergeCell ref="A336:A337"/>
    <mergeCell ref="B336:B337"/>
    <mergeCell ref="C336:C337"/>
    <mergeCell ref="D336:D337"/>
    <mergeCell ref="A340:A342"/>
    <mergeCell ref="B340:B342"/>
    <mergeCell ref="C340:C342"/>
    <mergeCell ref="D340:D342"/>
    <mergeCell ref="B298:B299"/>
    <mergeCell ref="C298:C299"/>
    <mergeCell ref="D298:D299"/>
    <mergeCell ref="A300:D300"/>
    <mergeCell ref="A311:D311"/>
  </mergeCells>
  <dataValidations count="2">
    <dataValidation type="list" allowBlank="1" showInputMessage="1" showErrorMessage="1" sqref="B101:B130" xr:uid="{1B190DDB-F5C2-4C95-B745-3C541F5D676C}">
      <formula1>#REF!</formula1>
    </dataValidation>
    <dataValidation type="list" allowBlank="1" showInputMessage="1" showErrorMessage="1" sqref="B101:B130" xr:uid="{A905AA13-27EC-4EB7-A710-97946CBC1F22}">
      <formula1>Справочник_работ_и_услуг</formula1>
    </dataValidation>
  </dataValidations>
  <pageMargins left="0.51181102362204722" right="0.31496062992125984" top="0.15748031496062992" bottom="0.15748031496062992" header="0.31496062992125984" footer="0.31496062992125984"/>
  <pageSetup paperSize="9" scale="54" fitToHeight="0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50E88-A808-4C62-8E26-921D5B4FE028}">
  <sheetPr>
    <pageSetUpPr fitToPage="1"/>
  </sheetPr>
  <dimension ref="A1:O274"/>
  <sheetViews>
    <sheetView topLeftCell="A258" zoomScale="70" zoomScaleNormal="70" workbookViewId="0">
      <selection activeCell="D273" sqref="A1:H273"/>
    </sheetView>
  </sheetViews>
  <sheetFormatPr defaultColWidth="8.54296875" defaultRowHeight="14.5" x14ac:dyDescent="0.35"/>
  <cols>
    <col min="1" max="1" width="5.36328125" style="59" customWidth="1"/>
    <col min="2" max="2" width="57.1796875" style="60" customWidth="1"/>
    <col min="3" max="3" width="8.7265625" style="59" customWidth="1"/>
    <col min="4" max="4" width="27" style="60" customWidth="1"/>
    <col min="5" max="5" width="14.08984375" hidden="1" customWidth="1"/>
    <col min="6" max="6" width="15.453125" hidden="1" customWidth="1"/>
    <col min="7" max="7" width="0" hidden="1" customWidth="1"/>
    <col min="8" max="8" width="12.453125" hidden="1" customWidth="1"/>
    <col min="9" max="15" width="0" hidden="1" customWidth="1"/>
  </cols>
  <sheetData>
    <row r="1" spans="1:4" ht="63.75" customHeight="1" x14ac:dyDescent="0.35">
      <c r="A1" s="413" t="s">
        <v>336</v>
      </c>
      <c r="B1" s="417"/>
      <c r="C1" s="417"/>
      <c r="D1" s="417"/>
    </row>
    <row r="2" spans="1:4" s="8" customFormat="1" ht="15.5" x14ac:dyDescent="0.35">
      <c r="A2" s="410" t="s">
        <v>337</v>
      </c>
      <c r="B2" s="410"/>
      <c r="C2" s="410"/>
      <c r="D2" s="410"/>
    </row>
    <row r="3" spans="1:4" s="8" customFormat="1" ht="15.5" x14ac:dyDescent="0.35">
      <c r="A3" s="421" t="s">
        <v>485</v>
      </c>
      <c r="B3" s="421"/>
      <c r="C3" s="421"/>
      <c r="D3" s="421"/>
    </row>
    <row r="4" spans="1:4" s="8" customFormat="1" ht="43" customHeight="1" x14ac:dyDescent="0.35">
      <c r="A4" s="72" t="s">
        <v>0</v>
      </c>
      <c r="B4" s="422" t="s">
        <v>2</v>
      </c>
      <c r="C4" s="422" t="s">
        <v>3</v>
      </c>
      <c r="D4" s="422" t="s">
        <v>4</v>
      </c>
    </row>
    <row r="5" spans="1:4" s="8" customFormat="1" ht="15.5" x14ac:dyDescent="0.35">
      <c r="A5" s="72" t="s">
        <v>1</v>
      </c>
      <c r="B5" s="422"/>
      <c r="C5" s="422"/>
      <c r="D5" s="422"/>
    </row>
    <row r="6" spans="1:4" s="8" customFormat="1" ht="15.5" x14ac:dyDescent="0.35">
      <c r="A6" s="75" t="s">
        <v>5</v>
      </c>
      <c r="B6" s="80" t="s">
        <v>6</v>
      </c>
      <c r="C6" s="75" t="s">
        <v>7</v>
      </c>
      <c r="D6" s="67">
        <v>46073</v>
      </c>
    </row>
    <row r="7" spans="1:4" s="8" customFormat="1" ht="21" customHeight="1" x14ac:dyDescent="0.35">
      <c r="A7" s="416" t="s">
        <v>8</v>
      </c>
      <c r="B7" s="416"/>
      <c r="C7" s="416"/>
      <c r="D7" s="416"/>
    </row>
    <row r="8" spans="1:4" s="8" customFormat="1" ht="41.5" customHeight="1" x14ac:dyDescent="0.35">
      <c r="A8" s="75" t="s">
        <v>9</v>
      </c>
      <c r="B8" s="80" t="s">
        <v>10</v>
      </c>
      <c r="C8" s="75" t="s">
        <v>7</v>
      </c>
      <c r="D8" s="29" t="s">
        <v>386</v>
      </c>
    </row>
    <row r="9" spans="1:4" s="8" customFormat="1" ht="15.5" x14ac:dyDescent="0.35">
      <c r="A9" s="75" t="s">
        <v>12</v>
      </c>
      <c r="B9" s="80" t="s">
        <v>13</v>
      </c>
      <c r="C9" s="75" t="s">
        <v>7</v>
      </c>
      <c r="D9" s="30"/>
    </row>
    <row r="10" spans="1:4" s="8" customFormat="1" ht="15" customHeight="1" x14ac:dyDescent="0.35">
      <c r="A10" s="416" t="s">
        <v>14</v>
      </c>
      <c r="B10" s="416"/>
      <c r="C10" s="416"/>
      <c r="D10" s="416"/>
    </row>
    <row r="11" spans="1:4" s="8" customFormat="1" ht="15.5" x14ac:dyDescent="0.35">
      <c r="A11" s="75" t="s">
        <v>15</v>
      </c>
      <c r="B11" s="80" t="s">
        <v>16</v>
      </c>
      <c r="C11" s="75" t="s">
        <v>7</v>
      </c>
      <c r="D11" s="29"/>
    </row>
    <row r="12" spans="1:4" s="8" customFormat="1" ht="13" customHeight="1" x14ac:dyDescent="0.35">
      <c r="A12" s="416" t="s">
        <v>17</v>
      </c>
      <c r="B12" s="416"/>
      <c r="C12" s="416"/>
      <c r="D12" s="416"/>
    </row>
    <row r="13" spans="1:4" s="8" customFormat="1" ht="15.5" x14ac:dyDescent="0.35">
      <c r="A13" s="75" t="s">
        <v>18</v>
      </c>
      <c r="B13" s="80" t="s">
        <v>19</v>
      </c>
      <c r="C13" s="75" t="s">
        <v>7</v>
      </c>
      <c r="D13" s="31" t="s">
        <v>387</v>
      </c>
    </row>
    <row r="14" spans="1:4" s="8" customFormat="1" ht="15.5" x14ac:dyDescent="0.35">
      <c r="A14" s="75" t="s">
        <v>21</v>
      </c>
      <c r="B14" s="80" t="s">
        <v>22</v>
      </c>
      <c r="C14" s="75" t="s">
        <v>7</v>
      </c>
      <c r="D14" s="29">
        <v>2021</v>
      </c>
    </row>
    <row r="15" spans="1:4" s="8" customFormat="1" ht="15.5" x14ac:dyDescent="0.35">
      <c r="A15" s="75" t="s">
        <v>23</v>
      </c>
      <c r="B15" s="80" t="s">
        <v>24</v>
      </c>
      <c r="C15" s="75" t="s">
        <v>7</v>
      </c>
      <c r="D15" s="29" t="s">
        <v>388</v>
      </c>
    </row>
    <row r="16" spans="1:4" s="8" customFormat="1" ht="15.5" x14ac:dyDescent="0.35">
      <c r="A16" s="75" t="s">
        <v>26</v>
      </c>
      <c r="B16" s="80" t="s">
        <v>27</v>
      </c>
      <c r="C16" s="75" t="s">
        <v>7</v>
      </c>
      <c r="D16" s="29" t="s">
        <v>28</v>
      </c>
    </row>
    <row r="17" spans="1:4" s="8" customFormat="1" ht="15.5" x14ac:dyDescent="0.35">
      <c r="A17" s="75" t="s">
        <v>29</v>
      </c>
      <c r="B17" s="80" t="s">
        <v>30</v>
      </c>
      <c r="C17" s="75" t="s">
        <v>7</v>
      </c>
      <c r="D17" s="29"/>
    </row>
    <row r="18" spans="1:4" s="8" customFormat="1" ht="15.5" x14ac:dyDescent="0.35">
      <c r="A18" s="75" t="s">
        <v>31</v>
      </c>
      <c r="B18" s="32" t="s">
        <v>32</v>
      </c>
      <c r="C18" s="75" t="s">
        <v>33</v>
      </c>
      <c r="D18" s="29">
        <v>20</v>
      </c>
    </row>
    <row r="19" spans="1:4" s="8" customFormat="1" ht="15.5" x14ac:dyDescent="0.35">
      <c r="A19" s="75" t="s">
        <v>34</v>
      </c>
      <c r="B19" s="32" t="s">
        <v>35</v>
      </c>
      <c r="C19" s="75" t="s">
        <v>33</v>
      </c>
      <c r="D19" s="29">
        <v>20</v>
      </c>
    </row>
    <row r="20" spans="1:4" s="8" customFormat="1" ht="15.5" x14ac:dyDescent="0.35">
      <c r="A20" s="75" t="s">
        <v>36</v>
      </c>
      <c r="B20" s="80" t="s">
        <v>37</v>
      </c>
      <c r="C20" s="75" t="s">
        <v>33</v>
      </c>
      <c r="D20" s="29">
        <v>1</v>
      </c>
    </row>
    <row r="21" spans="1:4" s="8" customFormat="1" ht="15.5" x14ac:dyDescent="0.35">
      <c r="A21" s="75" t="s">
        <v>38</v>
      </c>
      <c r="B21" s="80" t="s">
        <v>39</v>
      </c>
      <c r="C21" s="75" t="s">
        <v>33</v>
      </c>
      <c r="D21" s="29">
        <v>2</v>
      </c>
    </row>
    <row r="22" spans="1:4" s="8" customFormat="1" ht="15.5" x14ac:dyDescent="0.35">
      <c r="A22" s="75" t="s">
        <v>40</v>
      </c>
      <c r="B22" s="80" t="s">
        <v>41</v>
      </c>
      <c r="C22" s="75" t="s">
        <v>7</v>
      </c>
      <c r="D22" s="29"/>
    </row>
    <row r="23" spans="1:4" s="8" customFormat="1" ht="15.5" x14ac:dyDescent="0.35">
      <c r="A23" s="75" t="s">
        <v>42</v>
      </c>
      <c r="B23" s="32" t="s">
        <v>43</v>
      </c>
      <c r="C23" s="75" t="s">
        <v>33</v>
      </c>
      <c r="D23" s="29">
        <v>188</v>
      </c>
    </row>
    <row r="24" spans="1:4" s="8" customFormat="1" ht="15.5" x14ac:dyDescent="0.35">
      <c r="A24" s="75" t="s">
        <v>44</v>
      </c>
      <c r="B24" s="32" t="s">
        <v>45</v>
      </c>
      <c r="C24" s="75" t="s">
        <v>33</v>
      </c>
      <c r="D24" s="29">
        <v>0</v>
      </c>
    </row>
    <row r="25" spans="1:4" s="8" customFormat="1" ht="15.5" x14ac:dyDescent="0.35">
      <c r="A25" s="75" t="s">
        <v>46</v>
      </c>
      <c r="B25" s="80" t="s">
        <v>47</v>
      </c>
      <c r="C25" s="75" t="s">
        <v>48</v>
      </c>
      <c r="D25" s="29">
        <v>10467.299999999999</v>
      </c>
    </row>
    <row r="26" spans="1:4" s="8" customFormat="1" ht="15.5" x14ac:dyDescent="0.35">
      <c r="A26" s="75" t="s">
        <v>49</v>
      </c>
      <c r="B26" s="32" t="s">
        <v>50</v>
      </c>
      <c r="C26" s="75" t="s">
        <v>48</v>
      </c>
      <c r="D26" s="29">
        <v>8065.2</v>
      </c>
    </row>
    <row r="27" spans="1:4" s="8" customFormat="1" ht="15.5" x14ac:dyDescent="0.35">
      <c r="A27" s="75" t="s">
        <v>51</v>
      </c>
      <c r="B27" s="32" t="s">
        <v>52</v>
      </c>
      <c r="C27" s="75" t="s">
        <v>48</v>
      </c>
      <c r="D27" s="29">
        <v>0</v>
      </c>
    </row>
    <row r="28" spans="1:4" s="8" customFormat="1" ht="31" x14ac:dyDescent="0.35">
      <c r="A28" s="75" t="s">
        <v>53</v>
      </c>
      <c r="B28" s="32" t="s">
        <v>54</v>
      </c>
      <c r="C28" s="75" t="s">
        <v>48</v>
      </c>
      <c r="D28" s="29">
        <v>2402</v>
      </c>
    </row>
    <row r="29" spans="1:4" s="8" customFormat="1" ht="31" x14ac:dyDescent="0.35">
      <c r="A29" s="75" t="s">
        <v>55</v>
      </c>
      <c r="B29" s="80" t="s">
        <v>56</v>
      </c>
      <c r="C29" s="75" t="s">
        <v>7</v>
      </c>
      <c r="D29" s="29" t="s">
        <v>389</v>
      </c>
    </row>
    <row r="30" spans="1:4" s="8" customFormat="1" ht="31" x14ac:dyDescent="0.35">
      <c r="A30" s="75" t="s">
        <v>57</v>
      </c>
      <c r="B30" s="80" t="s">
        <v>58</v>
      </c>
      <c r="C30" s="75" t="s">
        <v>48</v>
      </c>
      <c r="D30" s="256"/>
    </row>
    <row r="31" spans="1:4" s="8" customFormat="1" ht="15.5" x14ac:dyDescent="0.35">
      <c r="A31" s="75" t="s">
        <v>59</v>
      </c>
      <c r="B31" s="80" t="s">
        <v>60</v>
      </c>
      <c r="C31" s="75" t="s">
        <v>48</v>
      </c>
      <c r="D31" s="256">
        <v>795</v>
      </c>
    </row>
    <row r="32" spans="1:4" s="8" customFormat="1" ht="15.5" x14ac:dyDescent="0.35">
      <c r="A32" s="75" t="s">
        <v>61</v>
      </c>
      <c r="B32" s="80" t="s">
        <v>62</v>
      </c>
      <c r="C32" s="75" t="s">
        <v>7</v>
      </c>
      <c r="D32" s="29" t="s">
        <v>63</v>
      </c>
    </row>
    <row r="33" spans="1:4" s="8" customFormat="1" ht="15.5" x14ac:dyDescent="0.35">
      <c r="A33" s="416" t="s">
        <v>64</v>
      </c>
      <c r="B33" s="416"/>
      <c r="C33" s="416"/>
      <c r="D33" s="416"/>
    </row>
    <row r="34" spans="1:4" s="8" customFormat="1" ht="15.5" x14ac:dyDescent="0.35">
      <c r="A34" s="75" t="s">
        <v>65</v>
      </c>
      <c r="B34" s="80" t="s">
        <v>66</v>
      </c>
      <c r="C34" s="75" t="s">
        <v>7</v>
      </c>
      <c r="D34" s="29" t="s">
        <v>67</v>
      </c>
    </row>
    <row r="35" spans="1:4" s="8" customFormat="1" ht="15.5" x14ac:dyDescent="0.35">
      <c r="A35" s="75" t="s">
        <v>68</v>
      </c>
      <c r="B35" s="80" t="s">
        <v>69</v>
      </c>
      <c r="C35" s="75" t="s">
        <v>7</v>
      </c>
      <c r="D35" s="29" t="s">
        <v>67</v>
      </c>
    </row>
    <row r="36" spans="1:4" s="8" customFormat="1" ht="15.5" x14ac:dyDescent="0.35">
      <c r="A36" s="75" t="s">
        <v>70</v>
      </c>
      <c r="B36" s="80" t="s">
        <v>259</v>
      </c>
      <c r="C36" s="75" t="s">
        <v>7</v>
      </c>
      <c r="D36" s="256">
        <v>54</v>
      </c>
    </row>
    <row r="37" spans="1:4" s="8" customFormat="1" ht="15.5" x14ac:dyDescent="0.35">
      <c r="A37" s="35"/>
      <c r="B37" s="25"/>
      <c r="C37" s="25"/>
      <c r="D37" s="25"/>
    </row>
    <row r="38" spans="1:4" s="8" customFormat="1" ht="33" customHeight="1" x14ac:dyDescent="0.35">
      <c r="A38" s="418" t="s">
        <v>71</v>
      </c>
      <c r="B38" s="419"/>
      <c r="C38" s="419"/>
      <c r="D38" s="419"/>
    </row>
    <row r="39" spans="1:4" s="8" customFormat="1" ht="15.5" x14ac:dyDescent="0.35">
      <c r="A39" s="22" t="s">
        <v>0</v>
      </c>
      <c r="B39" s="398" t="s">
        <v>2</v>
      </c>
      <c r="C39" s="398" t="s">
        <v>3</v>
      </c>
      <c r="D39" s="420" t="s">
        <v>4</v>
      </c>
    </row>
    <row r="40" spans="1:4" s="8" customFormat="1" ht="15.5" x14ac:dyDescent="0.35">
      <c r="A40" s="71" t="s">
        <v>1</v>
      </c>
      <c r="B40" s="398"/>
      <c r="C40" s="398"/>
      <c r="D40" s="420"/>
    </row>
    <row r="41" spans="1:4" s="8" customFormat="1" ht="15.5" x14ac:dyDescent="0.35">
      <c r="A41" s="73" t="s">
        <v>5</v>
      </c>
      <c r="B41" s="79" t="s">
        <v>6</v>
      </c>
      <c r="C41" s="73" t="s">
        <v>7</v>
      </c>
      <c r="D41" s="28">
        <v>46073</v>
      </c>
    </row>
    <row r="42" spans="1:4" s="8" customFormat="1" ht="15.5" x14ac:dyDescent="0.35">
      <c r="A42" s="416" t="s">
        <v>72</v>
      </c>
      <c r="B42" s="416"/>
      <c r="C42" s="416"/>
      <c r="D42" s="416"/>
    </row>
    <row r="43" spans="1:4" s="8" customFormat="1" ht="16" x14ac:dyDescent="0.35">
      <c r="A43" s="73" t="s">
        <v>9</v>
      </c>
      <c r="B43" s="79" t="s">
        <v>73</v>
      </c>
      <c r="C43" s="73" t="s">
        <v>7</v>
      </c>
      <c r="D43" s="33" t="s">
        <v>74</v>
      </c>
    </row>
    <row r="44" spans="1:4" s="8" customFormat="1" ht="15.5" x14ac:dyDescent="0.35">
      <c r="A44" s="416" t="s">
        <v>75</v>
      </c>
      <c r="B44" s="416"/>
      <c r="C44" s="416"/>
      <c r="D44" s="416"/>
    </row>
    <row r="45" spans="1:4" s="8" customFormat="1" ht="16" x14ac:dyDescent="0.35">
      <c r="A45" s="73" t="s">
        <v>12</v>
      </c>
      <c r="B45" s="79" t="s">
        <v>76</v>
      </c>
      <c r="C45" s="73" t="s">
        <v>7</v>
      </c>
      <c r="D45" s="33" t="s">
        <v>77</v>
      </c>
    </row>
    <row r="46" spans="1:4" s="8" customFormat="1" ht="16" x14ac:dyDescent="0.35">
      <c r="A46" s="73" t="s">
        <v>15</v>
      </c>
      <c r="B46" s="79" t="s">
        <v>78</v>
      </c>
      <c r="C46" s="73" t="s">
        <v>7</v>
      </c>
      <c r="D46" s="33" t="s">
        <v>79</v>
      </c>
    </row>
    <row r="47" spans="1:4" s="8" customFormat="1" ht="15.5" x14ac:dyDescent="0.35">
      <c r="A47" s="416" t="s">
        <v>80</v>
      </c>
      <c r="B47" s="416"/>
      <c r="C47" s="416"/>
      <c r="D47" s="416"/>
    </row>
    <row r="48" spans="1:4" s="8" customFormat="1" ht="16" x14ac:dyDescent="0.35">
      <c r="A48" s="73" t="s">
        <v>18</v>
      </c>
      <c r="B48" s="79" t="s">
        <v>81</v>
      </c>
      <c r="C48" s="73" t="s">
        <v>7</v>
      </c>
      <c r="D48" s="33" t="s">
        <v>502</v>
      </c>
    </row>
    <row r="49" spans="1:4" s="8" customFormat="1" ht="15.5" x14ac:dyDescent="0.35">
      <c r="A49" s="416" t="s">
        <v>83</v>
      </c>
      <c r="B49" s="416"/>
      <c r="C49" s="416"/>
      <c r="D49" s="416"/>
    </row>
    <row r="50" spans="1:4" s="8" customFormat="1" ht="16" x14ac:dyDescent="0.35">
      <c r="A50" s="73" t="s">
        <v>21</v>
      </c>
      <c r="B50" s="79" t="s">
        <v>84</v>
      </c>
      <c r="C50" s="73" t="s">
        <v>7</v>
      </c>
      <c r="D50" s="33" t="s">
        <v>85</v>
      </c>
    </row>
    <row r="51" spans="1:4" s="8" customFormat="1" ht="16" x14ac:dyDescent="0.35">
      <c r="A51" s="73" t="s">
        <v>23</v>
      </c>
      <c r="B51" s="79" t="s">
        <v>86</v>
      </c>
      <c r="C51" s="73" t="s">
        <v>7</v>
      </c>
      <c r="D51" s="33" t="s">
        <v>87</v>
      </c>
    </row>
    <row r="52" spans="1:4" s="8" customFormat="1" ht="15.5" x14ac:dyDescent="0.35">
      <c r="A52" s="416" t="s">
        <v>88</v>
      </c>
      <c r="B52" s="416"/>
      <c r="C52" s="416"/>
      <c r="D52" s="416"/>
    </row>
    <row r="53" spans="1:4" s="8" customFormat="1" ht="16" x14ac:dyDescent="0.35">
      <c r="A53" s="73" t="s">
        <v>26</v>
      </c>
      <c r="B53" s="79" t="s">
        <v>89</v>
      </c>
      <c r="C53" s="73" t="s">
        <v>48</v>
      </c>
      <c r="D53" s="33">
        <v>1400</v>
      </c>
    </row>
    <row r="54" spans="1:4" s="8" customFormat="1" ht="15.5" x14ac:dyDescent="0.35">
      <c r="A54" s="416" t="s">
        <v>90</v>
      </c>
      <c r="B54" s="416"/>
      <c r="C54" s="416"/>
      <c r="D54" s="416"/>
    </row>
    <row r="55" spans="1:4" s="8" customFormat="1" ht="16" x14ac:dyDescent="0.35">
      <c r="A55" s="73" t="s">
        <v>29</v>
      </c>
      <c r="B55" s="79" t="s">
        <v>91</v>
      </c>
      <c r="C55" s="73" t="s">
        <v>7</v>
      </c>
      <c r="D55" s="33"/>
    </row>
    <row r="56" spans="1:4" s="8" customFormat="1" ht="16" x14ac:dyDescent="0.35">
      <c r="A56" s="73" t="s">
        <v>31</v>
      </c>
      <c r="B56" s="79" t="s">
        <v>92</v>
      </c>
      <c r="C56" s="73" t="s">
        <v>33</v>
      </c>
      <c r="D56" s="33">
        <v>1</v>
      </c>
    </row>
    <row r="57" spans="1:4" s="8" customFormat="1" ht="15.5" x14ac:dyDescent="0.35">
      <c r="A57" s="416" t="s">
        <v>93</v>
      </c>
      <c r="B57" s="416"/>
      <c r="C57" s="416"/>
      <c r="D57" s="416"/>
    </row>
    <row r="58" spans="1:4" s="8" customFormat="1" ht="16" x14ac:dyDescent="0.35">
      <c r="A58" s="73" t="s">
        <v>34</v>
      </c>
      <c r="B58" s="79" t="s">
        <v>94</v>
      </c>
      <c r="C58" s="73" t="s">
        <v>7</v>
      </c>
      <c r="D58" s="33">
        <v>1</v>
      </c>
    </row>
    <row r="59" spans="1:4" s="8" customFormat="1" ht="16" x14ac:dyDescent="0.35">
      <c r="A59" s="73" t="s">
        <v>36</v>
      </c>
      <c r="B59" s="79" t="s">
        <v>95</v>
      </c>
      <c r="C59" s="73" t="s">
        <v>7</v>
      </c>
      <c r="D59" s="33" t="s">
        <v>98</v>
      </c>
    </row>
    <row r="60" spans="1:4" s="8" customFormat="1" ht="15.5" x14ac:dyDescent="0.35">
      <c r="A60" s="73" t="s">
        <v>38</v>
      </c>
      <c r="B60" s="79" t="s">
        <v>97</v>
      </c>
      <c r="C60" s="73" t="s">
        <v>7</v>
      </c>
      <c r="D60" s="24">
        <v>2021</v>
      </c>
    </row>
    <row r="61" spans="1:4" s="8" customFormat="1" ht="16" x14ac:dyDescent="0.35">
      <c r="A61" s="73" t="s">
        <v>34</v>
      </c>
      <c r="B61" s="79" t="s">
        <v>94</v>
      </c>
      <c r="C61" s="73" t="s">
        <v>7</v>
      </c>
      <c r="D61" s="33">
        <v>1</v>
      </c>
    </row>
    <row r="62" spans="1:4" s="8" customFormat="1" ht="16" x14ac:dyDescent="0.35">
      <c r="A62" s="73" t="s">
        <v>36</v>
      </c>
      <c r="B62" s="79" t="s">
        <v>95</v>
      </c>
      <c r="C62" s="73" t="s">
        <v>7</v>
      </c>
      <c r="D62" s="33" t="s">
        <v>98</v>
      </c>
    </row>
    <row r="63" spans="1:4" s="8" customFormat="1" ht="15.5" x14ac:dyDescent="0.35">
      <c r="A63" s="73" t="s">
        <v>38</v>
      </c>
      <c r="B63" s="79" t="s">
        <v>97</v>
      </c>
      <c r="C63" s="73" t="s">
        <v>7</v>
      </c>
      <c r="D63" s="24">
        <f>D60</f>
        <v>2021</v>
      </c>
    </row>
    <row r="64" spans="1:4" s="8" customFormat="1" ht="16" hidden="1" x14ac:dyDescent="0.35">
      <c r="A64" s="73" t="s">
        <v>34</v>
      </c>
      <c r="B64" s="79" t="s">
        <v>94</v>
      </c>
      <c r="C64" s="73" t="s">
        <v>7</v>
      </c>
      <c r="D64" s="33">
        <v>1</v>
      </c>
    </row>
    <row r="65" spans="1:4" s="8" customFormat="1" ht="16" hidden="1" x14ac:dyDescent="0.35">
      <c r="A65" s="73" t="s">
        <v>36</v>
      </c>
      <c r="B65" s="79" t="s">
        <v>95</v>
      </c>
      <c r="C65" s="73" t="s">
        <v>7</v>
      </c>
      <c r="D65" s="33" t="s">
        <v>98</v>
      </c>
    </row>
    <row r="66" spans="1:4" s="8" customFormat="1" ht="15.5" hidden="1" x14ac:dyDescent="0.35">
      <c r="A66" s="73" t="s">
        <v>38</v>
      </c>
      <c r="B66" s="79" t="s">
        <v>97</v>
      </c>
      <c r="C66" s="73" t="s">
        <v>7</v>
      </c>
      <c r="D66" s="24">
        <v>2012</v>
      </c>
    </row>
    <row r="67" spans="1:4" s="8" customFormat="1" ht="15.5" x14ac:dyDescent="0.35">
      <c r="A67" s="416" t="s">
        <v>99</v>
      </c>
      <c r="B67" s="416"/>
      <c r="C67" s="416"/>
      <c r="D67" s="416"/>
    </row>
    <row r="68" spans="1:4" s="8" customFormat="1" ht="16" x14ac:dyDescent="0.35">
      <c r="A68" s="73" t="s">
        <v>40</v>
      </c>
      <c r="B68" s="79" t="s">
        <v>100</v>
      </c>
      <c r="C68" s="73" t="s">
        <v>7</v>
      </c>
      <c r="D68" s="33" t="s">
        <v>101</v>
      </c>
    </row>
    <row r="69" spans="1:4" s="8" customFormat="1" ht="16" x14ac:dyDescent="0.35">
      <c r="A69" s="73" t="s">
        <v>42</v>
      </c>
      <c r="B69" s="79" t="s">
        <v>102</v>
      </c>
      <c r="C69" s="73" t="s">
        <v>7</v>
      </c>
      <c r="D69" s="33" t="s">
        <v>103</v>
      </c>
    </row>
    <row r="70" spans="1:4" s="8" customFormat="1" ht="16" x14ac:dyDescent="0.35">
      <c r="A70" s="73" t="s">
        <v>44</v>
      </c>
      <c r="B70" s="79" t="s">
        <v>104</v>
      </c>
      <c r="C70" s="73" t="s">
        <v>7</v>
      </c>
      <c r="D70" s="33" t="s">
        <v>105</v>
      </c>
    </row>
    <row r="71" spans="1:4" s="8" customFormat="1" ht="16" x14ac:dyDescent="0.35">
      <c r="A71" s="73" t="s">
        <v>46</v>
      </c>
      <c r="B71" s="79" t="s">
        <v>106</v>
      </c>
      <c r="C71" s="73" t="s">
        <v>7</v>
      </c>
      <c r="D71" s="33" t="s">
        <v>107</v>
      </c>
    </row>
    <row r="72" spans="1:4" s="8" customFormat="1" ht="15.5" x14ac:dyDescent="0.35">
      <c r="A72" s="73" t="s">
        <v>49</v>
      </c>
      <c r="B72" s="79" t="s">
        <v>108</v>
      </c>
      <c r="C72" s="73" t="s">
        <v>7</v>
      </c>
      <c r="D72" s="24">
        <f>D63</f>
        <v>2021</v>
      </c>
    </row>
    <row r="73" spans="1:4" s="8" customFormat="1" ht="15.5" x14ac:dyDescent="0.35">
      <c r="A73" s="73" t="s">
        <v>51</v>
      </c>
      <c r="B73" s="79" t="s">
        <v>109</v>
      </c>
      <c r="C73" s="73" t="s">
        <v>7</v>
      </c>
      <c r="D73" s="192">
        <v>2023</v>
      </c>
    </row>
    <row r="74" spans="1:4" s="8" customFormat="1" ht="15.5" x14ac:dyDescent="0.35">
      <c r="A74" s="416" t="s">
        <v>99</v>
      </c>
      <c r="B74" s="416"/>
      <c r="C74" s="416"/>
      <c r="D74" s="416"/>
    </row>
    <row r="75" spans="1:4" s="8" customFormat="1" ht="16" x14ac:dyDescent="0.35">
      <c r="A75" s="73" t="s">
        <v>53</v>
      </c>
      <c r="B75" s="79" t="s">
        <v>110</v>
      </c>
      <c r="C75" s="73" t="s">
        <v>7</v>
      </c>
      <c r="D75" s="33" t="s">
        <v>111</v>
      </c>
    </row>
    <row r="76" spans="1:4" s="8" customFormat="1" ht="16" x14ac:dyDescent="0.35">
      <c r="A76" s="73" t="s">
        <v>55</v>
      </c>
      <c r="B76" s="79" t="s">
        <v>112</v>
      </c>
      <c r="C76" s="73" t="s">
        <v>7</v>
      </c>
      <c r="D76" s="33" t="s">
        <v>113</v>
      </c>
    </row>
    <row r="77" spans="1:4" s="8" customFormat="1" ht="16" x14ac:dyDescent="0.35">
      <c r="A77" s="73" t="s">
        <v>57</v>
      </c>
      <c r="B77" s="79" t="s">
        <v>104</v>
      </c>
      <c r="C77" s="73" t="s">
        <v>7</v>
      </c>
      <c r="D77" s="33" t="s">
        <v>503</v>
      </c>
    </row>
    <row r="78" spans="1:4" s="8" customFormat="1" ht="16" x14ac:dyDescent="0.35">
      <c r="A78" s="73" t="s">
        <v>59</v>
      </c>
      <c r="B78" s="79" t="s">
        <v>106</v>
      </c>
      <c r="C78" s="73" t="s">
        <v>7</v>
      </c>
      <c r="D78" s="33" t="s">
        <v>115</v>
      </c>
    </row>
    <row r="79" spans="1:4" s="8" customFormat="1" ht="15.5" x14ac:dyDescent="0.35">
      <c r="A79" s="73" t="s">
        <v>61</v>
      </c>
      <c r="B79" s="79" t="s">
        <v>108</v>
      </c>
      <c r="C79" s="73" t="s">
        <v>7</v>
      </c>
      <c r="D79" s="24">
        <v>2021</v>
      </c>
    </row>
    <row r="80" spans="1:4" s="8" customFormat="1" ht="15.5" x14ac:dyDescent="0.35">
      <c r="A80" s="73" t="s">
        <v>65</v>
      </c>
      <c r="B80" s="79" t="s">
        <v>109</v>
      </c>
      <c r="C80" s="73" t="s">
        <v>7</v>
      </c>
      <c r="D80" s="282">
        <v>2024</v>
      </c>
    </row>
    <row r="81" spans="1:8" s="8" customFormat="1" ht="15.5" x14ac:dyDescent="0.35">
      <c r="A81" s="416" t="s">
        <v>124</v>
      </c>
      <c r="B81" s="416"/>
      <c r="C81" s="416"/>
      <c r="D81" s="416"/>
    </row>
    <row r="82" spans="1:8" s="8" customFormat="1" ht="16" x14ac:dyDescent="0.35">
      <c r="A82" s="73" t="s">
        <v>122</v>
      </c>
      <c r="B82" s="79" t="s">
        <v>125</v>
      </c>
      <c r="C82" s="73" t="s">
        <v>7</v>
      </c>
      <c r="D82" s="33" t="s">
        <v>126</v>
      </c>
    </row>
    <row r="83" spans="1:8" s="8" customFormat="1" ht="15.5" x14ac:dyDescent="0.35">
      <c r="A83" s="416" t="s">
        <v>127</v>
      </c>
      <c r="B83" s="416"/>
      <c r="C83" s="416"/>
      <c r="D83" s="416"/>
    </row>
    <row r="84" spans="1:8" s="8" customFormat="1" ht="32" x14ac:dyDescent="0.35">
      <c r="A84" s="73" t="s">
        <v>128</v>
      </c>
      <c r="B84" s="79" t="s">
        <v>129</v>
      </c>
      <c r="C84" s="73" t="s">
        <v>7</v>
      </c>
      <c r="D84" s="33" t="s">
        <v>130</v>
      </c>
    </row>
    <row r="85" spans="1:8" s="8" customFormat="1" ht="15.5" x14ac:dyDescent="0.35">
      <c r="A85" s="416" t="s">
        <v>131</v>
      </c>
      <c r="B85" s="416"/>
      <c r="C85" s="416"/>
      <c r="D85" s="416"/>
    </row>
    <row r="86" spans="1:8" s="8" customFormat="1" ht="16" x14ac:dyDescent="0.35">
      <c r="A86" s="73" t="s">
        <v>132</v>
      </c>
      <c r="B86" s="79" t="s">
        <v>133</v>
      </c>
      <c r="C86" s="73" t="s">
        <v>7</v>
      </c>
      <c r="D86" s="33" t="s">
        <v>134</v>
      </c>
    </row>
    <row r="87" spans="1:8" s="8" customFormat="1" ht="15.5" x14ac:dyDescent="0.35">
      <c r="A87" s="416" t="s">
        <v>135</v>
      </c>
      <c r="B87" s="416"/>
      <c r="C87" s="416"/>
      <c r="D87" s="416"/>
    </row>
    <row r="88" spans="1:8" s="8" customFormat="1" ht="16" x14ac:dyDescent="0.35">
      <c r="A88" s="73" t="s">
        <v>136</v>
      </c>
      <c r="B88" s="79" t="s">
        <v>137</v>
      </c>
      <c r="C88" s="73" t="s">
        <v>7</v>
      </c>
      <c r="D88" s="33" t="s">
        <v>138</v>
      </c>
    </row>
    <row r="89" spans="1:8" s="8" customFormat="1" ht="15.5" x14ac:dyDescent="0.35">
      <c r="A89" s="416" t="s">
        <v>139</v>
      </c>
      <c r="B89" s="416"/>
      <c r="C89" s="416"/>
      <c r="D89" s="416"/>
    </row>
    <row r="90" spans="1:8" s="8" customFormat="1" ht="15.5" x14ac:dyDescent="0.35">
      <c r="A90" s="35"/>
      <c r="B90" s="25"/>
      <c r="C90" s="25"/>
      <c r="D90" s="25"/>
    </row>
    <row r="91" spans="1:8" s="159" customFormat="1" ht="39" customHeight="1" x14ac:dyDescent="0.35">
      <c r="A91" s="156" t="s">
        <v>0</v>
      </c>
      <c r="B91" s="408" t="s">
        <v>391</v>
      </c>
      <c r="C91" s="408" t="s">
        <v>106</v>
      </c>
      <c r="D91" s="157" t="s">
        <v>392</v>
      </c>
      <c r="E91" s="158" t="s">
        <v>393</v>
      </c>
      <c r="F91" s="158"/>
      <c r="G91" s="158" t="s">
        <v>394</v>
      </c>
      <c r="H91" s="158"/>
    </row>
    <row r="92" spans="1:8" s="159" customFormat="1" ht="57.5" x14ac:dyDescent="0.35">
      <c r="A92" s="156"/>
      <c r="B92" s="409"/>
      <c r="C92" s="409"/>
      <c r="D92" s="157" t="s">
        <v>395</v>
      </c>
      <c r="E92" s="157" t="s">
        <v>396</v>
      </c>
      <c r="F92" s="157" t="s">
        <v>397</v>
      </c>
      <c r="G92" s="157" t="s">
        <v>396</v>
      </c>
      <c r="H92" s="157" t="s">
        <v>398</v>
      </c>
    </row>
    <row r="93" spans="1:8" s="164" customFormat="1" ht="28.5" customHeight="1" x14ac:dyDescent="0.35">
      <c r="A93" s="156">
        <v>1</v>
      </c>
      <c r="B93" s="160" t="s">
        <v>399</v>
      </c>
      <c r="C93" s="161" t="s">
        <v>400</v>
      </c>
      <c r="D93" s="162">
        <f>SUM(D94:D99)</f>
        <v>0.66051800000000005</v>
      </c>
      <c r="E93" s="163">
        <v>8065.2</v>
      </c>
      <c r="F93" s="163">
        <f>D93*E93</f>
        <v>5327.2097736000005</v>
      </c>
      <c r="G93" s="163">
        <f>E93</f>
        <v>8065.2</v>
      </c>
      <c r="H93" s="163">
        <f>F93*12</f>
        <v>63926.51728320001</v>
      </c>
    </row>
    <row r="94" spans="1:8" s="159" customFormat="1" ht="22" customHeight="1" x14ac:dyDescent="0.35">
      <c r="A94" s="157"/>
      <c r="B94" s="165" t="s">
        <v>401</v>
      </c>
      <c r="C94" s="158" t="s">
        <v>402</v>
      </c>
      <c r="D94" s="166">
        <f>'[1]МКД К.Беляева 40 Б'!$B$5</f>
        <v>1.0518E-2</v>
      </c>
      <c r="E94" s="167">
        <f>E93</f>
        <v>8065.2</v>
      </c>
      <c r="F94" s="167">
        <f>D94*E94</f>
        <v>84.829773599999996</v>
      </c>
      <c r="G94" s="167">
        <f>E94</f>
        <v>8065.2</v>
      </c>
      <c r="H94" s="167">
        <f>F94*12</f>
        <v>1017.9572831999999</v>
      </c>
    </row>
    <row r="95" spans="1:8" s="159" customFormat="1" ht="25.5" customHeight="1" x14ac:dyDescent="0.35">
      <c r="A95" s="157"/>
      <c r="B95" s="165" t="s">
        <v>403</v>
      </c>
      <c r="C95" s="158" t="s">
        <v>402</v>
      </c>
      <c r="D95" s="168">
        <v>0.11</v>
      </c>
      <c r="E95" s="167">
        <f>E94</f>
        <v>8065.2</v>
      </c>
      <c r="F95" s="167">
        <f t="shared" ref="F95:F121" si="0">D95*E95</f>
        <v>887.17200000000003</v>
      </c>
      <c r="G95" s="167">
        <f t="shared" ref="G95:G121" si="1">E95</f>
        <v>8065.2</v>
      </c>
      <c r="H95" s="167">
        <f t="shared" ref="H95:H121" si="2">F95*12</f>
        <v>10646.064</v>
      </c>
    </row>
    <row r="96" spans="1:8" s="159" customFormat="1" ht="22" customHeight="1" x14ac:dyDescent="0.35">
      <c r="A96" s="157"/>
      <c r="B96" s="165" t="s">
        <v>404</v>
      </c>
      <c r="C96" s="158" t="s">
        <v>402</v>
      </c>
      <c r="D96" s="168">
        <v>0.12</v>
      </c>
      <c r="E96" s="167">
        <f t="shared" ref="E96:E99" si="3">E95</f>
        <v>8065.2</v>
      </c>
      <c r="F96" s="167">
        <f t="shared" si="0"/>
        <v>967.82399999999996</v>
      </c>
      <c r="G96" s="167">
        <f t="shared" si="1"/>
        <v>8065.2</v>
      </c>
      <c r="H96" s="167">
        <f t="shared" si="2"/>
        <v>11613.887999999999</v>
      </c>
    </row>
    <row r="97" spans="1:8" s="159" customFormat="1" ht="22" customHeight="1" x14ac:dyDescent="0.35">
      <c r="A97" s="157"/>
      <c r="B97" s="165" t="s">
        <v>405</v>
      </c>
      <c r="C97" s="158" t="s">
        <v>402</v>
      </c>
      <c r="D97" s="168">
        <f>0.03+0.13</f>
        <v>0.16</v>
      </c>
      <c r="E97" s="167">
        <f t="shared" si="3"/>
        <v>8065.2</v>
      </c>
      <c r="F97" s="167">
        <f t="shared" si="0"/>
        <v>1290.432</v>
      </c>
      <c r="G97" s="167">
        <f t="shared" si="1"/>
        <v>8065.2</v>
      </c>
      <c r="H97" s="167">
        <f t="shared" si="2"/>
        <v>15485.184000000001</v>
      </c>
    </row>
    <row r="98" spans="1:8" s="159" customFormat="1" ht="22" customHeight="1" x14ac:dyDescent="0.35">
      <c r="A98" s="157"/>
      <c r="B98" s="165" t="s">
        <v>406</v>
      </c>
      <c r="C98" s="158" t="s">
        <v>402</v>
      </c>
      <c r="D98" s="168">
        <v>0.15</v>
      </c>
      <c r="E98" s="167">
        <f t="shared" si="3"/>
        <v>8065.2</v>
      </c>
      <c r="F98" s="167">
        <f t="shared" si="0"/>
        <v>1209.78</v>
      </c>
      <c r="G98" s="167">
        <f t="shared" si="1"/>
        <v>8065.2</v>
      </c>
      <c r="H98" s="167">
        <f t="shared" si="2"/>
        <v>14517.36</v>
      </c>
    </row>
    <row r="99" spans="1:8" s="159" customFormat="1" ht="35.5" customHeight="1" x14ac:dyDescent="0.35">
      <c r="A99" s="157"/>
      <c r="B99" s="165" t="s">
        <v>407</v>
      </c>
      <c r="C99" s="158" t="s">
        <v>402</v>
      </c>
      <c r="D99" s="168">
        <v>0.11</v>
      </c>
      <c r="E99" s="167">
        <f t="shared" si="3"/>
        <v>8065.2</v>
      </c>
      <c r="F99" s="167">
        <f t="shared" si="0"/>
        <v>887.17200000000003</v>
      </c>
      <c r="G99" s="167">
        <f t="shared" si="1"/>
        <v>8065.2</v>
      </c>
      <c r="H99" s="167">
        <f t="shared" si="2"/>
        <v>10646.064</v>
      </c>
    </row>
    <row r="100" spans="1:8" s="164" customFormat="1" ht="36" customHeight="1" x14ac:dyDescent="0.35">
      <c r="A100" s="156" t="s">
        <v>408</v>
      </c>
      <c r="B100" s="160" t="s">
        <v>262</v>
      </c>
      <c r="C100" s="161" t="s">
        <v>402</v>
      </c>
      <c r="D100" s="169">
        <f>SUM(D101:D106)</f>
        <v>5.120000000000001</v>
      </c>
      <c r="E100" s="163">
        <f>E93</f>
        <v>8065.2</v>
      </c>
      <c r="F100" s="163">
        <f t="shared" si="0"/>
        <v>41293.824000000008</v>
      </c>
      <c r="G100" s="163">
        <f t="shared" si="1"/>
        <v>8065.2</v>
      </c>
      <c r="H100" s="163">
        <f t="shared" si="2"/>
        <v>495525.88800000009</v>
      </c>
    </row>
    <row r="101" spans="1:8" s="159" customFormat="1" ht="22" customHeight="1" x14ac:dyDescent="0.35">
      <c r="A101" s="157"/>
      <c r="B101" s="165" t="s">
        <v>409</v>
      </c>
      <c r="C101" s="158" t="s">
        <v>402</v>
      </c>
      <c r="D101" s="211">
        <f>'[23]Перечень работ и услуг'!$C$7</f>
        <v>0.39</v>
      </c>
      <c r="E101" s="167">
        <f>E99</f>
        <v>8065.2</v>
      </c>
      <c r="F101" s="167">
        <f t="shared" si="0"/>
        <v>3145.4279999999999</v>
      </c>
      <c r="G101" s="167">
        <f t="shared" si="1"/>
        <v>8065.2</v>
      </c>
      <c r="H101" s="167">
        <f t="shared" si="2"/>
        <v>37745.135999999999</v>
      </c>
    </row>
    <row r="102" spans="1:8" s="159" customFormat="1" ht="22" customHeight="1" x14ac:dyDescent="0.35">
      <c r="A102" s="157"/>
      <c r="B102" s="165" t="s">
        <v>410</v>
      </c>
      <c r="C102" s="158" t="s">
        <v>402</v>
      </c>
      <c r="D102" s="166">
        <f>'[23]Перечень работ и услуг'!$C$8</f>
        <v>2.2200000000000002</v>
      </c>
      <c r="E102" s="167">
        <f>E101</f>
        <v>8065.2</v>
      </c>
      <c r="F102" s="167">
        <f t="shared" si="0"/>
        <v>17904.744000000002</v>
      </c>
      <c r="G102" s="167">
        <f t="shared" si="1"/>
        <v>8065.2</v>
      </c>
      <c r="H102" s="167">
        <f t="shared" si="2"/>
        <v>214856.92800000001</v>
      </c>
    </row>
    <row r="103" spans="1:8" s="159" customFormat="1" ht="36" customHeight="1" x14ac:dyDescent="0.35">
      <c r="A103" s="157"/>
      <c r="B103" s="165" t="s">
        <v>411</v>
      </c>
      <c r="C103" s="158" t="s">
        <v>402</v>
      </c>
      <c r="D103" s="168">
        <v>0.16</v>
      </c>
      <c r="E103" s="167">
        <f t="shared" ref="E103:E106" si="4">E102</f>
        <v>8065.2</v>
      </c>
      <c r="F103" s="167">
        <f t="shared" si="0"/>
        <v>1290.432</v>
      </c>
      <c r="G103" s="167">
        <f t="shared" si="1"/>
        <v>8065.2</v>
      </c>
      <c r="H103" s="167">
        <f t="shared" si="2"/>
        <v>15485.184000000001</v>
      </c>
    </row>
    <row r="104" spans="1:8" s="159" customFormat="1" ht="22" customHeight="1" x14ac:dyDescent="0.35">
      <c r="A104" s="157"/>
      <c r="B104" s="165" t="s">
        <v>412</v>
      </c>
      <c r="C104" s="158" t="s">
        <v>402</v>
      </c>
      <c r="D104" s="168">
        <f>1.91-0.56-0.24</f>
        <v>1.1099999999999999</v>
      </c>
      <c r="E104" s="167">
        <f t="shared" si="4"/>
        <v>8065.2</v>
      </c>
      <c r="F104" s="167">
        <f t="shared" si="0"/>
        <v>8952.3719999999994</v>
      </c>
      <c r="G104" s="167">
        <f t="shared" si="1"/>
        <v>8065.2</v>
      </c>
      <c r="H104" s="167">
        <f t="shared" si="2"/>
        <v>107428.46399999999</v>
      </c>
    </row>
    <row r="105" spans="1:8" s="159" customFormat="1" ht="34" customHeight="1" x14ac:dyDescent="0.35">
      <c r="A105" s="157"/>
      <c r="B105" s="165" t="s">
        <v>413</v>
      </c>
      <c r="C105" s="158" t="s">
        <v>402</v>
      </c>
      <c r="D105" s="168">
        <v>0.47</v>
      </c>
      <c r="E105" s="167">
        <f t="shared" si="4"/>
        <v>8065.2</v>
      </c>
      <c r="F105" s="167">
        <f t="shared" si="0"/>
        <v>3790.6439999999998</v>
      </c>
      <c r="G105" s="167">
        <f t="shared" si="1"/>
        <v>8065.2</v>
      </c>
      <c r="H105" s="167">
        <f t="shared" si="2"/>
        <v>45487.727999999996</v>
      </c>
    </row>
    <row r="106" spans="1:8" s="159" customFormat="1" ht="38.5" customHeight="1" x14ac:dyDescent="0.35">
      <c r="A106" s="157"/>
      <c r="B106" s="165" t="s">
        <v>414</v>
      </c>
      <c r="C106" s="158" t="s">
        <v>402</v>
      </c>
      <c r="D106" s="168">
        <f>1.37-0.6</f>
        <v>0.77000000000000013</v>
      </c>
      <c r="E106" s="167">
        <f t="shared" si="4"/>
        <v>8065.2</v>
      </c>
      <c r="F106" s="167">
        <f t="shared" si="0"/>
        <v>6210.2040000000006</v>
      </c>
      <c r="G106" s="167">
        <f t="shared" si="1"/>
        <v>8065.2</v>
      </c>
      <c r="H106" s="167">
        <f t="shared" si="2"/>
        <v>74522.448000000004</v>
      </c>
    </row>
    <row r="107" spans="1:8" s="164" customFormat="1" ht="22" customHeight="1" x14ac:dyDescent="0.35">
      <c r="A107" s="156"/>
      <c r="B107" s="160" t="s">
        <v>415</v>
      </c>
      <c r="C107" s="161" t="s">
        <v>402</v>
      </c>
      <c r="D107" s="169">
        <f>SUM(D108:D115)</f>
        <v>6.18</v>
      </c>
      <c r="E107" s="163">
        <f>E100</f>
        <v>8065.2</v>
      </c>
      <c r="F107" s="163">
        <f t="shared" si="0"/>
        <v>49842.935999999994</v>
      </c>
      <c r="G107" s="163">
        <f t="shared" si="1"/>
        <v>8065.2</v>
      </c>
      <c r="H107" s="163">
        <f t="shared" si="2"/>
        <v>598115.23199999996</v>
      </c>
    </row>
    <row r="108" spans="1:8" s="159" customFormat="1" ht="22" customHeight="1" x14ac:dyDescent="0.35">
      <c r="A108" s="156" t="s">
        <v>450</v>
      </c>
      <c r="B108" s="165" t="s">
        <v>416</v>
      </c>
      <c r="C108" s="161" t="s">
        <v>402</v>
      </c>
      <c r="D108" s="166">
        <f>'[23]Перечень работ и услуг'!$C$6</f>
        <v>0.83</v>
      </c>
      <c r="E108" s="167">
        <f>E106</f>
        <v>8065.2</v>
      </c>
      <c r="F108" s="167">
        <f t="shared" si="0"/>
        <v>6694.1159999999991</v>
      </c>
      <c r="G108" s="167">
        <f t="shared" si="1"/>
        <v>8065.2</v>
      </c>
      <c r="H108" s="167">
        <f t="shared" si="2"/>
        <v>80329.391999999993</v>
      </c>
    </row>
    <row r="109" spans="1:8" s="159" customFormat="1" ht="37" customHeight="1" x14ac:dyDescent="0.35">
      <c r="A109" s="157"/>
      <c r="B109" s="165" t="s">
        <v>417</v>
      </c>
      <c r="C109" s="158" t="s">
        <v>402</v>
      </c>
      <c r="D109" s="83">
        <f>2.2+0.23</f>
        <v>2.4300000000000002</v>
      </c>
      <c r="E109" s="167">
        <f>E108</f>
        <v>8065.2</v>
      </c>
      <c r="F109" s="167">
        <f t="shared" si="0"/>
        <v>19598.436000000002</v>
      </c>
      <c r="G109" s="167">
        <f t="shared" si="1"/>
        <v>8065.2</v>
      </c>
      <c r="H109" s="167">
        <f t="shared" si="2"/>
        <v>235181.23200000002</v>
      </c>
    </row>
    <row r="110" spans="1:8" s="159" customFormat="1" ht="38.5" customHeight="1" x14ac:dyDescent="0.35">
      <c r="A110" s="157"/>
      <c r="B110" s="165" t="s">
        <v>419</v>
      </c>
      <c r="C110" s="158" t="s">
        <v>402</v>
      </c>
      <c r="D110" s="166">
        <f>'[23]Перечень работ и услуг'!$C$10</f>
        <v>2.0099999999999998</v>
      </c>
      <c r="E110" s="167">
        <f t="shared" ref="E110:E116" si="5">E109</f>
        <v>8065.2</v>
      </c>
      <c r="F110" s="167">
        <f t="shared" si="0"/>
        <v>16211.051999999998</v>
      </c>
      <c r="G110" s="167">
        <f t="shared" si="1"/>
        <v>8065.2</v>
      </c>
      <c r="H110" s="167">
        <f t="shared" si="2"/>
        <v>194532.62399999998</v>
      </c>
    </row>
    <row r="111" spans="1:8" s="159" customFormat="1" ht="22" customHeight="1" x14ac:dyDescent="0.35">
      <c r="A111" s="157"/>
      <c r="B111" s="165" t="s">
        <v>420</v>
      </c>
      <c r="C111" s="158" t="s">
        <v>402</v>
      </c>
      <c r="D111" s="168">
        <v>0.1</v>
      </c>
      <c r="E111" s="167">
        <f t="shared" si="5"/>
        <v>8065.2</v>
      </c>
      <c r="F111" s="167">
        <f t="shared" si="0"/>
        <v>806.52</v>
      </c>
      <c r="G111" s="167">
        <f t="shared" si="1"/>
        <v>8065.2</v>
      </c>
      <c r="H111" s="167">
        <f t="shared" si="2"/>
        <v>9678.24</v>
      </c>
    </row>
    <row r="112" spans="1:8" s="159" customFormat="1" ht="22" customHeight="1" x14ac:dyDescent="0.35">
      <c r="A112" s="157"/>
      <c r="B112" s="165" t="s">
        <v>421</v>
      </c>
      <c r="C112" s="158"/>
      <c r="D112" s="168">
        <v>0.1</v>
      </c>
      <c r="E112" s="167">
        <f t="shared" si="5"/>
        <v>8065.2</v>
      </c>
      <c r="F112" s="167">
        <f t="shared" si="0"/>
        <v>806.52</v>
      </c>
      <c r="G112" s="167">
        <f t="shared" si="1"/>
        <v>8065.2</v>
      </c>
      <c r="H112" s="167">
        <f t="shared" si="2"/>
        <v>9678.24</v>
      </c>
    </row>
    <row r="113" spans="1:14" s="159" customFormat="1" ht="22" customHeight="1" x14ac:dyDescent="0.35">
      <c r="A113" s="157"/>
      <c r="B113" s="165" t="s">
        <v>422</v>
      </c>
      <c r="C113" s="158" t="s">
        <v>402</v>
      </c>
      <c r="D113" s="166">
        <f>'[23]Перечень работ и услуг'!$C$13</f>
        <v>0.32</v>
      </c>
      <c r="E113" s="167">
        <f t="shared" si="5"/>
        <v>8065.2</v>
      </c>
      <c r="F113" s="167">
        <f t="shared" si="0"/>
        <v>2580.864</v>
      </c>
      <c r="G113" s="167">
        <f t="shared" si="1"/>
        <v>8065.2</v>
      </c>
      <c r="H113" s="167">
        <f t="shared" si="2"/>
        <v>30970.368000000002</v>
      </c>
    </row>
    <row r="114" spans="1:14" s="159" customFormat="1" ht="15.5" customHeight="1" x14ac:dyDescent="0.35">
      <c r="A114" s="156" t="s">
        <v>449</v>
      </c>
      <c r="B114" s="165" t="s">
        <v>423</v>
      </c>
      <c r="C114" s="161" t="s">
        <v>402</v>
      </c>
      <c r="D114" s="166">
        <f>'[23]Перечень работ и услуг'!$C$12</f>
        <v>0.32</v>
      </c>
      <c r="E114" s="167">
        <f t="shared" si="5"/>
        <v>8065.2</v>
      </c>
      <c r="F114" s="167">
        <f t="shared" si="0"/>
        <v>2580.864</v>
      </c>
      <c r="G114" s="167">
        <f t="shared" si="1"/>
        <v>8065.2</v>
      </c>
      <c r="H114" s="167">
        <f t="shared" si="2"/>
        <v>30970.368000000002</v>
      </c>
    </row>
    <row r="115" spans="1:14" s="159" customFormat="1" ht="51" customHeight="1" x14ac:dyDescent="0.35">
      <c r="A115" s="171"/>
      <c r="B115" s="165" t="s">
        <v>305</v>
      </c>
      <c r="C115" s="161" t="s">
        <v>402</v>
      </c>
      <c r="D115" s="166">
        <f>'[23]Перечень работ и услуг'!$C$14</f>
        <v>7.0000000000000007E-2</v>
      </c>
      <c r="E115" s="167">
        <f t="shared" si="5"/>
        <v>8065.2</v>
      </c>
      <c r="F115" s="167">
        <f t="shared" si="0"/>
        <v>564.56400000000008</v>
      </c>
      <c r="G115" s="167">
        <f t="shared" si="1"/>
        <v>8065.2</v>
      </c>
      <c r="H115" s="167">
        <f t="shared" si="2"/>
        <v>6774.7680000000009</v>
      </c>
    </row>
    <row r="116" spans="1:14" s="164" customFormat="1" ht="48" x14ac:dyDescent="0.35">
      <c r="A116" s="172"/>
      <c r="B116" s="160" t="s">
        <v>424</v>
      </c>
      <c r="C116" s="161" t="s">
        <v>402</v>
      </c>
      <c r="D116" s="162">
        <f>D117+D118</f>
        <v>2.13</v>
      </c>
      <c r="E116" s="163">
        <f t="shared" si="5"/>
        <v>8065.2</v>
      </c>
      <c r="F116" s="163">
        <f t="shared" si="0"/>
        <v>17178.876</v>
      </c>
      <c r="G116" s="163">
        <f t="shared" si="1"/>
        <v>8065.2</v>
      </c>
      <c r="H116" s="163">
        <f t="shared" si="2"/>
        <v>206146.51199999999</v>
      </c>
    </row>
    <row r="117" spans="1:14" s="159" customFormat="1" ht="120" x14ac:dyDescent="0.35">
      <c r="A117" s="171"/>
      <c r="B117" s="165" t="s">
        <v>425</v>
      </c>
      <c r="C117" s="161" t="s">
        <v>402</v>
      </c>
      <c r="D117" s="166">
        <f>1.03+0.1</f>
        <v>1.1300000000000001</v>
      </c>
      <c r="E117" s="167">
        <f>E115</f>
        <v>8065.2</v>
      </c>
      <c r="F117" s="167">
        <f t="shared" si="0"/>
        <v>9113.6760000000013</v>
      </c>
      <c r="G117" s="167">
        <f t="shared" si="1"/>
        <v>8065.2</v>
      </c>
      <c r="H117" s="167">
        <f t="shared" si="2"/>
        <v>109364.11200000002</v>
      </c>
    </row>
    <row r="118" spans="1:14" s="159" customFormat="1" ht="72" customHeight="1" x14ac:dyDescent="0.35">
      <c r="A118" s="171"/>
      <c r="B118" s="165" t="s">
        <v>426</v>
      </c>
      <c r="C118" s="161" t="s">
        <v>402</v>
      </c>
      <c r="D118" s="166">
        <v>1</v>
      </c>
      <c r="E118" s="167">
        <f>E117</f>
        <v>8065.2</v>
      </c>
      <c r="F118" s="167">
        <f t="shared" si="0"/>
        <v>8065.2</v>
      </c>
      <c r="G118" s="167">
        <f t="shared" si="1"/>
        <v>8065.2</v>
      </c>
      <c r="H118" s="167">
        <f t="shared" si="2"/>
        <v>96782.399999999994</v>
      </c>
    </row>
    <row r="119" spans="1:14" s="159" customFormat="1" ht="36" x14ac:dyDescent="0.35">
      <c r="A119" s="171"/>
      <c r="B119" s="160" t="s">
        <v>265</v>
      </c>
      <c r="C119" s="161" t="s">
        <v>402</v>
      </c>
      <c r="D119" s="162">
        <f>'[23]Перечень работ и услуг'!$C$16</f>
        <v>7.9</v>
      </c>
      <c r="E119" s="163">
        <f>E118</f>
        <v>8065.2</v>
      </c>
      <c r="F119" s="163">
        <f t="shared" si="0"/>
        <v>63715.08</v>
      </c>
      <c r="G119" s="163">
        <f t="shared" si="1"/>
        <v>8065.2</v>
      </c>
      <c r="H119" s="163">
        <f t="shared" si="2"/>
        <v>764580.96</v>
      </c>
    </row>
    <row r="120" spans="1:14" s="159" customFormat="1" ht="15.5" x14ac:dyDescent="0.35">
      <c r="A120" s="171"/>
      <c r="B120" s="160" t="s">
        <v>427</v>
      </c>
      <c r="C120" s="161" t="s">
        <v>402</v>
      </c>
      <c r="D120" s="162">
        <f>'[23]Перечень работ и услуг'!$C$17</f>
        <v>7</v>
      </c>
      <c r="E120" s="163">
        <f>E119</f>
        <v>8065.2</v>
      </c>
      <c r="F120" s="163">
        <f t="shared" si="0"/>
        <v>56456.4</v>
      </c>
      <c r="G120" s="163">
        <f t="shared" si="1"/>
        <v>8065.2</v>
      </c>
      <c r="H120" s="163">
        <f t="shared" si="2"/>
        <v>677476.8</v>
      </c>
    </row>
    <row r="121" spans="1:14" s="159" customFormat="1" ht="15.5" x14ac:dyDescent="0.35">
      <c r="A121" s="171"/>
      <c r="B121" s="160" t="s">
        <v>428</v>
      </c>
      <c r="C121" s="161" t="s">
        <v>402</v>
      </c>
      <c r="D121" s="162">
        <f>D120+D119+D116+D107+D100+D93</f>
        <v>28.990518000000002</v>
      </c>
      <c r="E121" s="163">
        <f>E120</f>
        <v>8065.2</v>
      </c>
      <c r="F121" s="163">
        <f t="shared" si="0"/>
        <v>233814.32577359999</v>
      </c>
      <c r="G121" s="163">
        <f t="shared" si="1"/>
        <v>8065.2</v>
      </c>
      <c r="H121" s="163">
        <f t="shared" si="2"/>
        <v>2805771.9092831998</v>
      </c>
    </row>
    <row r="122" spans="1:14" s="8" customFormat="1" ht="43.5" customHeight="1" x14ac:dyDescent="0.35">
      <c r="A122" s="423" t="s">
        <v>390</v>
      </c>
      <c r="B122" s="424"/>
      <c r="C122" s="424"/>
      <c r="D122" s="424"/>
      <c r="E122" s="424"/>
      <c r="F122" s="424"/>
      <c r="G122" s="424"/>
      <c r="H122" s="424"/>
    </row>
    <row r="123" spans="1:14" s="57" customFormat="1" ht="15.5" x14ac:dyDescent="0.35">
      <c r="A123" s="102" t="s">
        <v>0</v>
      </c>
      <c r="B123" s="330" t="s">
        <v>2</v>
      </c>
      <c r="C123" s="330" t="s">
        <v>3</v>
      </c>
      <c r="D123" s="316" t="s">
        <v>4</v>
      </c>
      <c r="E123" s="316"/>
      <c r="F123" s="316"/>
      <c r="G123" s="316"/>
      <c r="H123" s="316"/>
    </row>
    <row r="124" spans="1:14" s="57" customFormat="1" ht="15.5" x14ac:dyDescent="0.35">
      <c r="A124" s="183" t="s">
        <v>1</v>
      </c>
      <c r="B124" s="330"/>
      <c r="C124" s="330"/>
      <c r="D124" s="316"/>
      <c r="E124" s="316"/>
      <c r="F124" s="316"/>
      <c r="G124" s="316"/>
      <c r="H124" s="316"/>
    </row>
    <row r="125" spans="1:14" s="57" customFormat="1" ht="24.5" customHeight="1" x14ac:dyDescent="0.35">
      <c r="A125" s="185">
        <v>1</v>
      </c>
      <c r="B125" s="84" t="s">
        <v>302</v>
      </c>
      <c r="C125" s="185" t="s">
        <v>298</v>
      </c>
      <c r="D125" s="311">
        <v>4.47</v>
      </c>
      <c r="E125" s="311"/>
      <c r="F125" s="311"/>
      <c r="G125" s="311"/>
      <c r="H125" s="311"/>
      <c r="K125" s="57">
        <v>13438.42</v>
      </c>
      <c r="M125" s="57">
        <f>K125*D125</f>
        <v>60069.737399999998</v>
      </c>
      <c r="N125" s="57">
        <f>M125*12</f>
        <v>720836.84880000004</v>
      </c>
    </row>
    <row r="126" spans="1:14" s="57" customFormat="1" ht="15.5" x14ac:dyDescent="0.35">
      <c r="A126" s="185">
        <v>2</v>
      </c>
      <c r="B126" s="186" t="s">
        <v>430</v>
      </c>
      <c r="C126" s="185" t="s">
        <v>143</v>
      </c>
      <c r="D126" s="311">
        <f>[13]Лист_1!$AU$407</f>
        <v>704517.18461448129</v>
      </c>
      <c r="E126" s="311"/>
      <c r="F126" s="311"/>
      <c r="G126" s="311"/>
      <c r="H126" s="311"/>
    </row>
    <row r="127" spans="1:14" s="57" customFormat="1" ht="15.5" x14ac:dyDescent="0.35">
      <c r="A127" s="185">
        <v>3</v>
      </c>
      <c r="B127" s="186" t="s">
        <v>258</v>
      </c>
      <c r="C127" s="185" t="s">
        <v>7</v>
      </c>
      <c r="D127" s="311" t="s">
        <v>304</v>
      </c>
      <c r="E127" s="311"/>
      <c r="F127" s="311"/>
      <c r="G127" s="311"/>
      <c r="H127" s="311"/>
    </row>
    <row r="128" spans="1:14" s="57" customFormat="1" ht="15.5" x14ac:dyDescent="0.35">
      <c r="A128" s="185">
        <v>4</v>
      </c>
      <c r="B128" s="184" t="s">
        <v>350</v>
      </c>
      <c r="C128" s="185"/>
      <c r="D128" s="311">
        <f>'[4]К. Беляева 40В'!$D$84</f>
        <v>850432.22249999992</v>
      </c>
      <c r="E128" s="311"/>
      <c r="F128" s="311"/>
      <c r="G128" s="311"/>
      <c r="H128" s="311"/>
    </row>
    <row r="129" spans="1:15" s="57" customFormat="1" ht="15.5" x14ac:dyDescent="0.35">
      <c r="A129" s="185">
        <v>5</v>
      </c>
      <c r="B129" s="184" t="s">
        <v>351</v>
      </c>
      <c r="C129" s="185"/>
      <c r="D129" s="311">
        <f>'[4]К. Беляева 40В'!$D$85</f>
        <v>-219064.7378855187</v>
      </c>
      <c r="E129" s="311"/>
      <c r="F129" s="311"/>
      <c r="G129" s="311"/>
      <c r="H129" s="311"/>
    </row>
    <row r="130" spans="1:15" s="57" customFormat="1" ht="15.5" x14ac:dyDescent="0.35">
      <c r="A130" s="185">
        <v>6</v>
      </c>
      <c r="B130" s="186" t="s">
        <v>148</v>
      </c>
      <c r="C130" s="185" t="s">
        <v>7</v>
      </c>
      <c r="D130" s="311" t="s">
        <v>273</v>
      </c>
      <c r="E130" s="311"/>
      <c r="F130" s="311"/>
      <c r="G130" s="311"/>
      <c r="H130" s="311"/>
    </row>
    <row r="131" spans="1:15" s="57" customFormat="1" ht="15.5" hidden="1" customHeight="1" x14ac:dyDescent="0.35">
      <c r="A131" s="102" t="s">
        <v>0</v>
      </c>
      <c r="B131" s="330" t="s">
        <v>2</v>
      </c>
      <c r="C131" s="330" t="s">
        <v>3</v>
      </c>
      <c r="D131" s="311" t="s">
        <v>4</v>
      </c>
      <c r="E131" s="311"/>
      <c r="F131" s="311"/>
      <c r="G131" s="311"/>
      <c r="H131" s="311"/>
    </row>
    <row r="132" spans="1:15" s="57" customFormat="1" ht="15.5" hidden="1" customHeight="1" x14ac:dyDescent="0.35">
      <c r="A132" s="183" t="s">
        <v>1</v>
      </c>
      <c r="B132" s="330"/>
      <c r="C132" s="330"/>
      <c r="D132" s="311"/>
      <c r="E132" s="311"/>
      <c r="F132" s="311"/>
      <c r="G132" s="311"/>
      <c r="H132" s="311"/>
    </row>
    <row r="133" spans="1:15" s="57" customFormat="1" ht="41" hidden="1" customHeight="1" x14ac:dyDescent="0.35">
      <c r="A133" s="185">
        <v>1</v>
      </c>
      <c r="B133" s="84" t="s">
        <v>265</v>
      </c>
      <c r="C133" s="185" t="s">
        <v>7</v>
      </c>
      <c r="D133" s="311">
        <f>[2]КБ40Б!$B$31</f>
        <v>5.0200000000000005</v>
      </c>
      <c r="E133" s="311">
        <f>D133</f>
        <v>5.0200000000000005</v>
      </c>
      <c r="F133" s="311"/>
      <c r="G133" s="311"/>
      <c r="H133" s="311"/>
      <c r="K133" s="57">
        <v>13438.42</v>
      </c>
      <c r="M133" s="57">
        <f>K133*D133</f>
        <v>67460.868400000007</v>
      </c>
      <c r="N133" s="57">
        <f>M133*12</f>
        <v>809530.42080000008</v>
      </c>
    </row>
    <row r="134" spans="1:15" s="57" customFormat="1" ht="16" hidden="1" customHeight="1" thickBot="1" x14ac:dyDescent="0.4">
      <c r="A134" s="185">
        <v>2</v>
      </c>
      <c r="B134" s="186" t="s">
        <v>142</v>
      </c>
      <c r="C134" s="185" t="s">
        <v>143</v>
      </c>
      <c r="D134" s="311">
        <f>[2]КБ40Б!$G$31</f>
        <v>851464.09659744019</v>
      </c>
      <c r="E134" s="311"/>
      <c r="F134" s="311">
        <f>D134</f>
        <v>851464.09659744019</v>
      </c>
      <c r="G134" s="311"/>
      <c r="H134" s="311"/>
    </row>
    <row r="135" spans="1:15" s="57" customFormat="1" ht="39" hidden="1" customHeight="1" x14ac:dyDescent="0.35">
      <c r="A135" s="185">
        <v>3</v>
      </c>
      <c r="B135" s="186" t="s">
        <v>258</v>
      </c>
      <c r="C135" s="185" t="s">
        <v>7</v>
      </c>
      <c r="D135" s="311" t="s">
        <v>324</v>
      </c>
      <c r="E135" s="311">
        <f>SUM(E61:E134)</f>
        <v>233895.82000000009</v>
      </c>
      <c r="F135" s="311">
        <f>SUM(F61:F134)</f>
        <v>1432735.5939182402</v>
      </c>
      <c r="G135" s="311"/>
      <c r="H135" s="311"/>
    </row>
    <row r="136" spans="1:15" s="57" customFormat="1" ht="16" hidden="1" customHeight="1" x14ac:dyDescent="0.35">
      <c r="A136" s="185">
        <v>4</v>
      </c>
      <c r="B136" s="186" t="s">
        <v>148</v>
      </c>
      <c r="C136" s="185" t="s">
        <v>7</v>
      </c>
      <c r="D136" s="311" t="s">
        <v>155</v>
      </c>
      <c r="E136" s="311"/>
      <c r="F136" s="311"/>
      <c r="G136" s="311"/>
      <c r="H136" s="311"/>
    </row>
    <row r="137" spans="1:15" s="57" customFormat="1" ht="15.5" x14ac:dyDescent="0.35">
      <c r="A137" s="102" t="s">
        <v>0</v>
      </c>
      <c r="B137" s="330" t="s">
        <v>2</v>
      </c>
      <c r="C137" s="330" t="s">
        <v>3</v>
      </c>
      <c r="D137" s="311" t="s">
        <v>4</v>
      </c>
      <c r="E137" s="311"/>
      <c r="F137" s="311"/>
      <c r="G137" s="311"/>
      <c r="H137" s="311"/>
    </row>
    <row r="138" spans="1:15" s="57" customFormat="1" ht="15.5" x14ac:dyDescent="0.35">
      <c r="A138" s="183" t="s">
        <v>1</v>
      </c>
      <c r="B138" s="330"/>
      <c r="C138" s="330"/>
      <c r="D138" s="311"/>
      <c r="E138" s="311"/>
      <c r="F138" s="311"/>
      <c r="G138" s="311"/>
      <c r="H138" s="311"/>
    </row>
    <row r="139" spans="1:15" s="57" customFormat="1" ht="19.5" customHeight="1" x14ac:dyDescent="0.35">
      <c r="A139" s="185">
        <v>1</v>
      </c>
      <c r="B139" s="84" t="s">
        <v>271</v>
      </c>
      <c r="C139" s="185" t="s">
        <v>7</v>
      </c>
      <c r="D139" s="311">
        <v>12.26</v>
      </c>
      <c r="E139" s="311"/>
      <c r="F139" s="311"/>
      <c r="G139" s="311"/>
      <c r="H139" s="311"/>
      <c r="K139" s="57">
        <v>13438.42</v>
      </c>
      <c r="M139" s="57">
        <f>K139*D139</f>
        <v>164755.02919999999</v>
      </c>
      <c r="N139" s="57">
        <f>M139*12</f>
        <v>1977060.3503999999</v>
      </c>
    </row>
    <row r="140" spans="1:15" s="57" customFormat="1" ht="15.5" x14ac:dyDescent="0.35">
      <c r="A140" s="185">
        <v>2</v>
      </c>
      <c r="B140" s="186" t="s">
        <v>142</v>
      </c>
      <c r="C140" s="185" t="s">
        <v>143</v>
      </c>
      <c r="D140" s="310">
        <f>[13]Лист_1!$AO$404</f>
        <v>1932497</v>
      </c>
      <c r="E140" s="311"/>
      <c r="F140" s="311"/>
      <c r="G140" s="311"/>
      <c r="H140" s="311"/>
      <c r="N140" s="57">
        <v>1988010.53</v>
      </c>
      <c r="O140" s="57" t="s">
        <v>325</v>
      </c>
    </row>
    <row r="141" spans="1:15" s="57" customFormat="1" ht="15.5" x14ac:dyDescent="0.35">
      <c r="A141" s="185">
        <v>3</v>
      </c>
      <c r="B141" s="186" t="s">
        <v>258</v>
      </c>
      <c r="C141" s="185" t="s">
        <v>7</v>
      </c>
      <c r="D141" s="311" t="s">
        <v>352</v>
      </c>
      <c r="E141" s="311"/>
      <c r="F141" s="311"/>
      <c r="G141" s="311"/>
      <c r="H141" s="311"/>
      <c r="N141" s="57">
        <f>N140-N139</f>
        <v>10950.179600000149</v>
      </c>
    </row>
    <row r="142" spans="1:15" s="57" customFormat="1" ht="15.5" x14ac:dyDescent="0.35">
      <c r="A142" s="185">
        <v>4</v>
      </c>
      <c r="B142" s="186" t="s">
        <v>148</v>
      </c>
      <c r="C142" s="185" t="s">
        <v>7</v>
      </c>
      <c r="D142" s="311" t="s">
        <v>155</v>
      </c>
      <c r="E142" s="311"/>
      <c r="F142" s="311"/>
      <c r="G142" s="311"/>
      <c r="H142" s="311"/>
    </row>
    <row r="143" spans="1:15" s="57" customFormat="1" ht="15.5" hidden="1" x14ac:dyDescent="0.35">
      <c r="A143" s="102" t="s">
        <v>0</v>
      </c>
      <c r="B143" s="330" t="s">
        <v>2</v>
      </c>
      <c r="C143" s="330" t="s">
        <v>3</v>
      </c>
      <c r="D143" s="311" t="s">
        <v>4</v>
      </c>
      <c r="E143" s="311"/>
      <c r="F143" s="311"/>
      <c r="G143" s="311"/>
      <c r="H143" s="311"/>
    </row>
    <row r="144" spans="1:15" s="57" customFormat="1" ht="15.5" hidden="1" x14ac:dyDescent="0.35">
      <c r="A144" s="183" t="s">
        <v>1</v>
      </c>
      <c r="B144" s="330"/>
      <c r="C144" s="330"/>
      <c r="D144" s="311"/>
      <c r="E144" s="311"/>
      <c r="F144" s="311"/>
      <c r="G144" s="311"/>
      <c r="H144" s="311"/>
    </row>
    <row r="145" spans="1:12" s="57" customFormat="1" ht="38" hidden="1" customHeight="1" x14ac:dyDescent="0.35">
      <c r="A145" s="185">
        <v>1</v>
      </c>
      <c r="B145" s="84" t="str">
        <f>[5]Лист_1!$N$7</f>
        <v>Доп.усл.по оформл.платеж.док-в на опл. взнос. на кап.ремонт</v>
      </c>
      <c r="C145" s="185" t="s">
        <v>297</v>
      </c>
      <c r="D145" s="311">
        <v>6</v>
      </c>
      <c r="E145" s="311"/>
      <c r="F145" s="311"/>
      <c r="G145" s="311"/>
      <c r="H145" s="311"/>
      <c r="K145" s="57">
        <f>D145*192</f>
        <v>1152</v>
      </c>
      <c r="L145" s="57">
        <f>K145*12</f>
        <v>13824</v>
      </c>
    </row>
    <row r="146" spans="1:12" s="57" customFormat="1" ht="15.5" hidden="1" x14ac:dyDescent="0.35">
      <c r="A146" s="185">
        <v>2</v>
      </c>
      <c r="B146" s="186" t="s">
        <v>142</v>
      </c>
      <c r="C146" s="185" t="s">
        <v>143</v>
      </c>
      <c r="D146" s="310">
        <f>[13]Лист_1!$AP$404</f>
        <v>135418.95000000001</v>
      </c>
      <c r="E146" s="311"/>
      <c r="F146" s="311"/>
      <c r="G146" s="311"/>
      <c r="H146" s="311"/>
    </row>
    <row r="147" spans="1:12" s="57" customFormat="1" ht="15.5" hidden="1" x14ac:dyDescent="0.35">
      <c r="A147" s="185">
        <v>3</v>
      </c>
      <c r="B147" s="186" t="s">
        <v>258</v>
      </c>
      <c r="C147" s="185" t="s">
        <v>7</v>
      </c>
      <c r="D147" s="311" t="s">
        <v>272</v>
      </c>
      <c r="E147" s="311"/>
      <c r="F147" s="311"/>
      <c r="G147" s="311"/>
      <c r="H147" s="311"/>
    </row>
    <row r="148" spans="1:12" s="57" customFormat="1" ht="15.5" hidden="1" x14ac:dyDescent="0.35">
      <c r="A148" s="185">
        <v>4</v>
      </c>
      <c r="B148" s="186" t="s">
        <v>148</v>
      </c>
      <c r="C148" s="185" t="s">
        <v>7</v>
      </c>
      <c r="D148" s="311" t="s">
        <v>155</v>
      </c>
      <c r="E148" s="311"/>
      <c r="F148" s="311"/>
      <c r="G148" s="311"/>
      <c r="H148" s="311"/>
    </row>
    <row r="149" spans="1:12" s="57" customFormat="1" ht="15.5" hidden="1" x14ac:dyDescent="0.35">
      <c r="A149" s="102" t="s">
        <v>0</v>
      </c>
      <c r="B149" s="330" t="s">
        <v>2</v>
      </c>
      <c r="C149" s="330" t="s">
        <v>3</v>
      </c>
      <c r="D149" s="311" t="s">
        <v>4</v>
      </c>
      <c r="E149" s="311"/>
      <c r="F149" s="311"/>
      <c r="G149" s="311"/>
      <c r="H149" s="311"/>
    </row>
    <row r="150" spans="1:12" s="57" customFormat="1" ht="15.5" hidden="1" x14ac:dyDescent="0.35">
      <c r="A150" s="183" t="s">
        <v>1</v>
      </c>
      <c r="B150" s="330"/>
      <c r="C150" s="330"/>
      <c r="D150" s="311"/>
      <c r="E150" s="311"/>
      <c r="F150" s="311"/>
      <c r="G150" s="311"/>
      <c r="H150" s="311"/>
    </row>
    <row r="151" spans="1:12" s="57" customFormat="1" ht="16" hidden="1" customHeight="1" x14ac:dyDescent="0.35">
      <c r="A151" s="185" t="s">
        <v>5</v>
      </c>
      <c r="B151" s="186" t="s">
        <v>6</v>
      </c>
      <c r="C151" s="185" t="s">
        <v>7</v>
      </c>
      <c r="D151" s="311">
        <v>43851</v>
      </c>
      <c r="E151" s="311"/>
      <c r="F151" s="311"/>
      <c r="G151" s="311"/>
      <c r="H151" s="311"/>
    </row>
    <row r="152" spans="1:12" s="57" customFormat="1" ht="15.5" x14ac:dyDescent="0.35">
      <c r="A152" s="185">
        <v>1</v>
      </c>
      <c r="B152" s="186" t="s">
        <v>149</v>
      </c>
      <c r="C152" s="185" t="s">
        <v>7</v>
      </c>
      <c r="D152" s="311" t="s">
        <v>157</v>
      </c>
      <c r="E152" s="311"/>
      <c r="F152" s="311"/>
      <c r="G152" s="311"/>
      <c r="H152" s="311"/>
    </row>
    <row r="153" spans="1:12" s="57" customFormat="1" ht="15.5" x14ac:dyDescent="0.35">
      <c r="A153" s="185">
        <v>2</v>
      </c>
      <c r="B153" s="186" t="s">
        <v>154</v>
      </c>
      <c r="C153" s="185" t="s">
        <v>7</v>
      </c>
      <c r="D153" s="311" t="s">
        <v>158</v>
      </c>
      <c r="E153" s="311"/>
      <c r="F153" s="311"/>
      <c r="G153" s="311"/>
      <c r="H153" s="311"/>
    </row>
    <row r="154" spans="1:12" s="57" customFormat="1" ht="15.5" x14ac:dyDescent="0.35">
      <c r="A154" s="185">
        <v>3</v>
      </c>
      <c r="B154" s="186" t="s">
        <v>264</v>
      </c>
      <c r="C154" s="125"/>
      <c r="D154" s="311"/>
      <c r="E154" s="311"/>
      <c r="F154" s="311"/>
      <c r="G154" s="311"/>
      <c r="H154" s="311"/>
    </row>
    <row r="155" spans="1:12" s="57" customFormat="1" ht="15.5" x14ac:dyDescent="0.35">
      <c r="A155" s="185" t="s">
        <v>218</v>
      </c>
      <c r="B155" s="184" t="s">
        <v>353</v>
      </c>
      <c r="C155" s="126" t="s">
        <v>308</v>
      </c>
      <c r="D155" s="311">
        <v>0.17799999999999999</v>
      </c>
      <c r="E155" s="311"/>
      <c r="F155" s="311"/>
      <c r="G155" s="311"/>
      <c r="H155" s="311"/>
    </row>
    <row r="156" spans="1:12" s="57" customFormat="1" ht="15.5" x14ac:dyDescent="0.35">
      <c r="A156" s="185" t="s">
        <v>219</v>
      </c>
      <c r="B156" s="184" t="s">
        <v>354</v>
      </c>
      <c r="C156" s="126" t="s">
        <v>308</v>
      </c>
      <c r="D156" s="311">
        <v>0.65100000000000002</v>
      </c>
      <c r="E156" s="311"/>
      <c r="F156" s="311"/>
      <c r="G156" s="311"/>
      <c r="H156" s="311"/>
    </row>
    <row r="157" spans="1:12" s="57" customFormat="1" ht="15.5" x14ac:dyDescent="0.35">
      <c r="A157" s="185" t="s">
        <v>221</v>
      </c>
      <c r="B157" s="184" t="s">
        <v>161</v>
      </c>
      <c r="C157" s="126" t="s">
        <v>309</v>
      </c>
      <c r="D157" s="311">
        <v>0.17799999999999999</v>
      </c>
      <c r="E157" s="311"/>
      <c r="F157" s="311"/>
      <c r="G157" s="311"/>
      <c r="H157" s="311"/>
    </row>
    <row r="158" spans="1:12" s="57" customFormat="1" ht="15.5" x14ac:dyDescent="0.35">
      <c r="A158" s="185" t="s">
        <v>222</v>
      </c>
      <c r="B158" s="184" t="s">
        <v>163</v>
      </c>
      <c r="C158" s="126" t="s">
        <v>310</v>
      </c>
      <c r="D158" s="311">
        <v>6.0609999999999999</v>
      </c>
      <c r="E158" s="311"/>
      <c r="F158" s="311"/>
      <c r="G158" s="311"/>
      <c r="H158" s="311"/>
    </row>
    <row r="159" spans="1:12" s="57" customFormat="1" ht="15.5" x14ac:dyDescent="0.35">
      <c r="A159" s="185" t="s">
        <v>355</v>
      </c>
      <c r="B159" s="184" t="s">
        <v>165</v>
      </c>
      <c r="C159" s="126" t="s">
        <v>311</v>
      </c>
      <c r="D159" s="311">
        <v>0.313</v>
      </c>
      <c r="E159" s="311"/>
      <c r="F159" s="311"/>
      <c r="G159" s="311"/>
      <c r="H159" s="311"/>
    </row>
    <row r="160" spans="1:12" s="57" customFormat="1" ht="15.5" x14ac:dyDescent="0.35">
      <c r="A160" s="185">
        <v>4</v>
      </c>
      <c r="B160" s="332" t="s">
        <v>477</v>
      </c>
      <c r="C160" s="332"/>
      <c r="D160" s="332"/>
      <c r="E160" s="332"/>
      <c r="F160" s="332"/>
      <c r="G160" s="332"/>
      <c r="H160" s="332"/>
    </row>
    <row r="161" spans="1:11" s="57" customFormat="1" ht="15.5" x14ac:dyDescent="0.35">
      <c r="A161" s="185" t="s">
        <v>159</v>
      </c>
      <c r="B161" s="184" t="s">
        <v>356</v>
      </c>
      <c r="C161" s="126" t="s">
        <v>141</v>
      </c>
      <c r="D161" s="310">
        <f>[13]Лист_1!$L$404</f>
        <v>25034.71</v>
      </c>
      <c r="E161" s="311"/>
      <c r="F161" s="311"/>
      <c r="G161" s="311"/>
      <c r="H161" s="311"/>
      <c r="K161" s="58"/>
    </row>
    <row r="162" spans="1:11" s="57" customFormat="1" ht="15.5" x14ac:dyDescent="0.35">
      <c r="A162" s="185" t="s">
        <v>160</v>
      </c>
      <c r="B162" s="184" t="s">
        <v>357</v>
      </c>
      <c r="C162" s="126"/>
      <c r="D162" s="310">
        <f>[13]Лист_1!$M$404</f>
        <v>83937.34</v>
      </c>
      <c r="E162" s="311"/>
      <c r="F162" s="311"/>
      <c r="G162" s="311"/>
      <c r="H162" s="311"/>
      <c r="K162" s="58"/>
    </row>
    <row r="163" spans="1:11" s="57" customFormat="1" ht="15.5" x14ac:dyDescent="0.35">
      <c r="A163" s="185" t="s">
        <v>162</v>
      </c>
      <c r="B163" s="184" t="s">
        <v>161</v>
      </c>
      <c r="C163" s="126" t="s">
        <v>141</v>
      </c>
      <c r="D163" s="310">
        <f>[13]Лист_1!$Y$404</f>
        <v>25034.82</v>
      </c>
      <c r="E163" s="311"/>
      <c r="F163" s="311"/>
      <c r="G163" s="311"/>
      <c r="H163" s="311"/>
    </row>
    <row r="164" spans="1:11" s="57" customFormat="1" ht="15.5" x14ac:dyDescent="0.35">
      <c r="A164" s="185" t="s">
        <v>164</v>
      </c>
      <c r="B164" s="184" t="s">
        <v>163</v>
      </c>
      <c r="C164" s="126" t="s">
        <v>141</v>
      </c>
      <c r="D164" s="310">
        <f>[13]Лист_1!$Z$404</f>
        <v>903322.51</v>
      </c>
      <c r="E164" s="311"/>
      <c r="F164" s="311"/>
      <c r="G164" s="311"/>
      <c r="H164" s="311"/>
    </row>
    <row r="165" spans="1:11" s="57" customFormat="1" ht="15.5" x14ac:dyDescent="0.35">
      <c r="A165" s="185" t="s">
        <v>358</v>
      </c>
      <c r="B165" s="184" t="s">
        <v>165</v>
      </c>
      <c r="C165" s="126" t="s">
        <v>141</v>
      </c>
      <c r="D165" s="310">
        <f>[13]Лист_1!$H$404</f>
        <v>40627.33</v>
      </c>
      <c r="E165" s="311"/>
      <c r="F165" s="311"/>
      <c r="G165" s="311"/>
      <c r="H165" s="311"/>
    </row>
    <row r="166" spans="1:11" s="57" customFormat="1" ht="15.5" x14ac:dyDescent="0.35">
      <c r="A166" s="185">
        <v>5</v>
      </c>
      <c r="B166" s="184" t="s">
        <v>476</v>
      </c>
      <c r="C166" s="126" t="s">
        <v>141</v>
      </c>
      <c r="D166" s="310">
        <f>[13]Лист_1!$AB$404</f>
        <v>-335826.7</v>
      </c>
      <c r="E166" s="311"/>
      <c r="F166" s="311"/>
      <c r="G166" s="311"/>
      <c r="H166" s="311"/>
    </row>
    <row r="167" spans="1:11" s="57" customFormat="1" ht="15.5" x14ac:dyDescent="0.35">
      <c r="A167" s="185" t="s">
        <v>21</v>
      </c>
      <c r="B167" s="184" t="s">
        <v>296</v>
      </c>
      <c r="C167" s="126" t="s">
        <v>141</v>
      </c>
      <c r="D167" s="310">
        <f>[13]Лист_1!$AA$404</f>
        <v>-335826.7</v>
      </c>
      <c r="E167" s="311"/>
      <c r="F167" s="311"/>
      <c r="G167" s="311"/>
      <c r="H167" s="311"/>
    </row>
    <row r="168" spans="1:11" s="57" customFormat="1" ht="15.5" x14ac:dyDescent="0.35">
      <c r="A168" s="185" t="s">
        <v>23</v>
      </c>
      <c r="B168" s="184" t="s">
        <v>144</v>
      </c>
      <c r="C168" s="126" t="s">
        <v>7</v>
      </c>
      <c r="D168" s="311" t="s">
        <v>478</v>
      </c>
      <c r="E168" s="311"/>
      <c r="F168" s="311"/>
      <c r="G168" s="311"/>
      <c r="H168" s="311"/>
    </row>
    <row r="169" spans="1:11" s="8" customFormat="1" ht="15.5" hidden="1" x14ac:dyDescent="0.35">
      <c r="A169" s="38"/>
      <c r="B169" s="39"/>
      <c r="C169" s="39"/>
      <c r="D169" s="39"/>
    </row>
    <row r="170" spans="1:11" s="8" customFormat="1" ht="15.5" hidden="1" x14ac:dyDescent="0.35">
      <c r="A170" s="40"/>
      <c r="B170" s="41"/>
      <c r="C170" s="41"/>
      <c r="D170" s="41"/>
    </row>
    <row r="171" spans="1:11" s="57" customFormat="1" ht="31" customHeight="1" x14ac:dyDescent="0.35">
      <c r="A171" s="185" t="s">
        <v>23</v>
      </c>
      <c r="B171" s="186" t="s">
        <v>145</v>
      </c>
      <c r="C171" s="185" t="s">
        <v>7</v>
      </c>
      <c r="D171" s="333" t="s">
        <v>429</v>
      </c>
      <c r="E171" s="333"/>
      <c r="F171" s="333"/>
      <c r="G171" s="333"/>
      <c r="H171" s="333"/>
    </row>
    <row r="172" spans="1:11" s="8" customFormat="1" ht="26" hidden="1" x14ac:dyDescent="0.35">
      <c r="A172" s="73">
        <v>6</v>
      </c>
      <c r="B172" s="79" t="s">
        <v>176</v>
      </c>
      <c r="C172" s="42" t="s">
        <v>7</v>
      </c>
      <c r="D172" s="24" t="s">
        <v>267</v>
      </c>
    </row>
    <row r="173" spans="1:11" s="8" customFormat="1" ht="15.5" hidden="1" x14ac:dyDescent="0.35">
      <c r="A173" s="73">
        <v>7</v>
      </c>
      <c r="B173" s="79" t="s">
        <v>180</v>
      </c>
      <c r="C173" s="43" t="s">
        <v>141</v>
      </c>
      <c r="D173" s="46">
        <f>[24]Лист_1!$I$207</f>
        <v>515170.61</v>
      </c>
    </row>
    <row r="174" spans="1:11" s="8" customFormat="1" ht="15.5" hidden="1" x14ac:dyDescent="0.35">
      <c r="A174" s="73">
        <v>8</v>
      </c>
      <c r="B174" s="79" t="s">
        <v>181</v>
      </c>
      <c r="C174" s="43" t="s">
        <v>141</v>
      </c>
      <c r="D174" s="46">
        <f>[24]Лист_1!$AH$208+[24]Лист_1!$AI$207</f>
        <v>537879.75</v>
      </c>
    </row>
    <row r="175" spans="1:11" s="8" customFormat="1" ht="15.5" hidden="1" x14ac:dyDescent="0.35">
      <c r="A175" s="73">
        <v>9</v>
      </c>
      <c r="B175" s="79" t="s">
        <v>188</v>
      </c>
      <c r="C175" s="43" t="s">
        <v>141</v>
      </c>
      <c r="D175" s="46">
        <f>D173-D174</f>
        <v>-22709.140000000014</v>
      </c>
    </row>
    <row r="176" spans="1:11" s="8" customFormat="1" ht="15.5" hidden="1" x14ac:dyDescent="0.35">
      <c r="A176" s="73">
        <v>10</v>
      </c>
      <c r="B176" s="79" t="s">
        <v>183</v>
      </c>
      <c r="C176" s="43" t="s">
        <v>141</v>
      </c>
      <c r="D176" s="47">
        <f>D173</f>
        <v>515170.61</v>
      </c>
    </row>
    <row r="177" spans="1:4" s="8" customFormat="1" ht="15.5" hidden="1" x14ac:dyDescent="0.35">
      <c r="A177" s="73">
        <v>11</v>
      </c>
      <c r="B177" s="79" t="s">
        <v>184</v>
      </c>
      <c r="C177" s="43" t="s">
        <v>141</v>
      </c>
      <c r="D177" s="47">
        <f>D173</f>
        <v>515170.61</v>
      </c>
    </row>
    <row r="178" spans="1:4" s="8" customFormat="1" ht="15.5" hidden="1" x14ac:dyDescent="0.35">
      <c r="A178" s="73" t="s">
        <v>0</v>
      </c>
      <c r="B178" s="398" t="s">
        <v>2</v>
      </c>
      <c r="C178" s="398" t="s">
        <v>3</v>
      </c>
      <c r="D178" s="422" t="s">
        <v>4</v>
      </c>
    </row>
    <row r="179" spans="1:4" s="8" customFormat="1" ht="15.5" hidden="1" x14ac:dyDescent="0.35">
      <c r="A179" s="71" t="s">
        <v>1</v>
      </c>
      <c r="B179" s="398"/>
      <c r="C179" s="398"/>
      <c r="D179" s="422"/>
    </row>
    <row r="180" spans="1:4" s="8" customFormat="1" ht="15.5" hidden="1" x14ac:dyDescent="0.35">
      <c r="A180" s="73">
        <v>1</v>
      </c>
      <c r="B180" s="79" t="s">
        <v>202</v>
      </c>
      <c r="C180" s="73" t="s">
        <v>7</v>
      </c>
      <c r="D180" s="24" t="s">
        <v>203</v>
      </c>
    </row>
    <row r="181" spans="1:4" s="8" customFormat="1" ht="15.5" hidden="1" x14ac:dyDescent="0.35">
      <c r="A181" s="73">
        <v>2</v>
      </c>
      <c r="B181" s="79" t="s">
        <v>106</v>
      </c>
      <c r="C181" s="73" t="s">
        <v>7</v>
      </c>
      <c r="D181" s="24" t="s">
        <v>107</v>
      </c>
    </row>
    <row r="182" spans="1:4" s="8" customFormat="1" ht="15.5" hidden="1" x14ac:dyDescent="0.35">
      <c r="A182" s="73">
        <v>3</v>
      </c>
      <c r="B182" s="79" t="s">
        <v>172</v>
      </c>
      <c r="C182" s="73" t="s">
        <v>141</v>
      </c>
      <c r="D182" s="24" t="s">
        <v>316</v>
      </c>
    </row>
    <row r="183" spans="1:4" s="8" customFormat="1" ht="15.5" hidden="1" x14ac:dyDescent="0.35">
      <c r="A183" s="73">
        <v>4</v>
      </c>
      <c r="B183" s="79" t="s">
        <v>173</v>
      </c>
      <c r="C183" s="73" t="s">
        <v>7</v>
      </c>
      <c r="D183" s="24" t="s">
        <v>317</v>
      </c>
    </row>
    <row r="184" spans="1:4" s="8" customFormat="1" ht="39" hidden="1" x14ac:dyDescent="0.35">
      <c r="A184" s="73">
        <v>5</v>
      </c>
      <c r="B184" s="79" t="s">
        <v>175</v>
      </c>
      <c r="C184" s="73" t="s">
        <v>7</v>
      </c>
      <c r="D184" s="45" t="s">
        <v>328</v>
      </c>
    </row>
    <row r="185" spans="1:4" s="8" customFormat="1" ht="15.5" hidden="1" x14ac:dyDescent="0.35">
      <c r="A185" s="73">
        <v>6</v>
      </c>
      <c r="B185" s="79" t="s">
        <v>176</v>
      </c>
      <c r="C185" s="42" t="s">
        <v>7</v>
      </c>
      <c r="D185" s="34" t="s">
        <v>313</v>
      </c>
    </row>
    <row r="186" spans="1:4" s="8" customFormat="1" ht="15.5" hidden="1" x14ac:dyDescent="0.35">
      <c r="A186" s="73">
        <v>7</v>
      </c>
      <c r="B186" s="79" t="s">
        <v>180</v>
      </c>
      <c r="C186" s="43" t="s">
        <v>141</v>
      </c>
      <c r="D186" s="76">
        <f>[24]Лист_1!$Q$207</f>
        <v>2621107.87</v>
      </c>
    </row>
    <row r="187" spans="1:4" s="8" customFormat="1" ht="15.5" hidden="1" x14ac:dyDescent="0.35">
      <c r="A187" s="73">
        <v>8</v>
      </c>
      <c r="B187" s="79" t="s">
        <v>181</v>
      </c>
      <c r="C187" s="43" t="s">
        <v>141</v>
      </c>
      <c r="D187" s="76">
        <f>[24]Лист_1!$AQ$207</f>
        <v>2704119.44</v>
      </c>
    </row>
    <row r="188" spans="1:4" s="8" customFormat="1" ht="15.5" hidden="1" x14ac:dyDescent="0.35">
      <c r="A188" s="73">
        <v>9</v>
      </c>
      <c r="B188" s="79" t="s">
        <v>188</v>
      </c>
      <c r="C188" s="43" t="s">
        <v>141</v>
      </c>
      <c r="D188" s="76">
        <f>D186-D187</f>
        <v>-83011.569999999832</v>
      </c>
    </row>
    <row r="189" spans="1:4" s="8" customFormat="1" ht="15.5" hidden="1" x14ac:dyDescent="0.35">
      <c r="A189" s="73">
        <v>10</v>
      </c>
      <c r="B189" s="79" t="s">
        <v>183</v>
      </c>
      <c r="C189" s="43" t="s">
        <v>141</v>
      </c>
      <c r="D189" s="48">
        <f>D186</f>
        <v>2621107.87</v>
      </c>
    </row>
    <row r="190" spans="1:4" s="8" customFormat="1" ht="15.5" hidden="1" x14ac:dyDescent="0.35">
      <c r="A190" s="73">
        <v>11</v>
      </c>
      <c r="B190" s="79" t="s">
        <v>184</v>
      </c>
      <c r="C190" s="43" t="s">
        <v>141</v>
      </c>
      <c r="D190" s="48">
        <f>D189</f>
        <v>2621107.87</v>
      </c>
    </row>
    <row r="191" spans="1:4" s="8" customFormat="1" ht="15.5" hidden="1" x14ac:dyDescent="0.35">
      <c r="A191" s="73" t="s">
        <v>0</v>
      </c>
      <c r="B191" s="398" t="s">
        <v>2</v>
      </c>
      <c r="C191" s="398" t="s">
        <v>3</v>
      </c>
      <c r="D191" s="422" t="s">
        <v>4</v>
      </c>
    </row>
    <row r="192" spans="1:4" s="8" customFormat="1" ht="15.5" hidden="1" x14ac:dyDescent="0.35">
      <c r="A192" s="71" t="s">
        <v>1</v>
      </c>
      <c r="B192" s="398"/>
      <c r="C192" s="398"/>
      <c r="D192" s="422"/>
    </row>
    <row r="193" spans="1:4" s="8" customFormat="1" ht="26" hidden="1" x14ac:dyDescent="0.35">
      <c r="A193" s="73">
        <v>1</v>
      </c>
      <c r="B193" s="79" t="s">
        <v>202</v>
      </c>
      <c r="C193" s="73" t="s">
        <v>7</v>
      </c>
      <c r="D193" s="24" t="s">
        <v>329</v>
      </c>
    </row>
    <row r="194" spans="1:4" s="8" customFormat="1" ht="15.5" hidden="1" x14ac:dyDescent="0.35">
      <c r="A194" s="73">
        <v>2</v>
      </c>
      <c r="B194" s="79" t="s">
        <v>106</v>
      </c>
      <c r="C194" s="73" t="s">
        <v>7</v>
      </c>
      <c r="D194" s="24" t="s">
        <v>107</v>
      </c>
    </row>
    <row r="195" spans="1:4" s="8" customFormat="1" ht="15.5" hidden="1" x14ac:dyDescent="0.35">
      <c r="A195" s="73">
        <v>3</v>
      </c>
      <c r="B195" s="79" t="s">
        <v>172</v>
      </c>
      <c r="C195" s="73" t="s">
        <v>141</v>
      </c>
      <c r="D195" s="24" t="s">
        <v>316</v>
      </c>
    </row>
    <row r="196" spans="1:4" s="8" customFormat="1" ht="15.5" hidden="1" x14ac:dyDescent="0.35">
      <c r="A196" s="73">
        <v>4</v>
      </c>
      <c r="B196" s="79" t="s">
        <v>173</v>
      </c>
      <c r="C196" s="73" t="s">
        <v>7</v>
      </c>
      <c r="D196" s="24" t="s">
        <v>317</v>
      </c>
    </row>
    <row r="197" spans="1:4" s="8" customFormat="1" ht="39" hidden="1" x14ac:dyDescent="0.35">
      <c r="A197" s="73">
        <v>5</v>
      </c>
      <c r="B197" s="79" t="s">
        <v>175</v>
      </c>
      <c r="C197" s="73" t="s">
        <v>7</v>
      </c>
      <c r="D197" s="45" t="s">
        <v>204</v>
      </c>
    </row>
    <row r="198" spans="1:4" s="8" customFormat="1" ht="15.5" hidden="1" x14ac:dyDescent="0.35">
      <c r="A198" s="73">
        <v>6</v>
      </c>
      <c r="B198" s="79" t="s">
        <v>176</v>
      </c>
      <c r="C198" s="42" t="s">
        <v>7</v>
      </c>
      <c r="D198" s="34" t="s">
        <v>313</v>
      </c>
    </row>
    <row r="199" spans="1:4" s="8" customFormat="1" ht="15.5" hidden="1" x14ac:dyDescent="0.35">
      <c r="A199" s="73">
        <v>7</v>
      </c>
      <c r="B199" s="79" t="s">
        <v>180</v>
      </c>
      <c r="C199" s="43" t="s">
        <v>141</v>
      </c>
      <c r="D199" s="76">
        <f>[24]Лист_1!$T$207</f>
        <v>860204.77</v>
      </c>
    </row>
    <row r="200" spans="1:4" s="8" customFormat="1" ht="15.5" hidden="1" x14ac:dyDescent="0.35">
      <c r="A200" s="73">
        <v>8</v>
      </c>
      <c r="B200" s="79" t="s">
        <v>181</v>
      </c>
      <c r="C200" s="43" t="s">
        <v>141</v>
      </c>
      <c r="D200" s="76">
        <f>[25]Лист_1!$AP$205</f>
        <v>1123738.24</v>
      </c>
    </row>
    <row r="201" spans="1:4" s="8" customFormat="1" ht="15.5" hidden="1" x14ac:dyDescent="0.35">
      <c r="A201" s="73">
        <v>9</v>
      </c>
      <c r="B201" s="79" t="s">
        <v>188</v>
      </c>
      <c r="C201" s="43" t="s">
        <v>141</v>
      </c>
      <c r="D201" s="76">
        <f>D199-D200</f>
        <v>-263533.46999999997</v>
      </c>
    </row>
    <row r="202" spans="1:4" s="8" customFormat="1" ht="15.5" hidden="1" x14ac:dyDescent="0.35">
      <c r="A202" s="73">
        <v>10</v>
      </c>
      <c r="B202" s="79" t="s">
        <v>183</v>
      </c>
      <c r="C202" s="43" t="s">
        <v>141</v>
      </c>
      <c r="D202" s="48">
        <f>D199</f>
        <v>860204.77</v>
      </c>
    </row>
    <row r="203" spans="1:4" s="8" customFormat="1" ht="15.5" hidden="1" x14ac:dyDescent="0.35">
      <c r="A203" s="73">
        <v>11</v>
      </c>
      <c r="B203" s="79" t="s">
        <v>184</v>
      </c>
      <c r="C203" s="43" t="s">
        <v>141</v>
      </c>
      <c r="D203" s="48">
        <f>D202</f>
        <v>860204.77</v>
      </c>
    </row>
    <row r="204" spans="1:4" s="8" customFormat="1" ht="15.5" x14ac:dyDescent="0.35">
      <c r="A204" s="27"/>
      <c r="B204" s="26"/>
      <c r="C204" s="69"/>
      <c r="D204" s="70"/>
    </row>
    <row r="205" spans="1:4" s="8" customFormat="1" ht="15.5" x14ac:dyDescent="0.35">
      <c r="A205" s="9"/>
    </row>
    <row r="206" spans="1:4" s="8" customFormat="1" ht="15.5" x14ac:dyDescent="0.35">
      <c r="A206" s="394" t="s">
        <v>206</v>
      </c>
      <c r="B206" s="394"/>
      <c r="C206" s="394"/>
      <c r="D206" s="394"/>
    </row>
    <row r="207" spans="1:4" s="8" customFormat="1" ht="16" thickBot="1" x14ac:dyDescent="0.4">
      <c r="A207" s="9"/>
    </row>
    <row r="208" spans="1:4" s="8" customFormat="1" ht="15.5" x14ac:dyDescent="0.35">
      <c r="A208" s="1" t="s">
        <v>0</v>
      </c>
      <c r="B208" s="395" t="s">
        <v>2</v>
      </c>
      <c r="C208" s="395" t="s">
        <v>3</v>
      </c>
      <c r="D208" s="395" t="s">
        <v>4</v>
      </c>
    </row>
    <row r="209" spans="1:4" s="8" customFormat="1" ht="16" thickBot="1" x14ac:dyDescent="0.4">
      <c r="A209" s="2" t="s">
        <v>1</v>
      </c>
      <c r="B209" s="396"/>
      <c r="C209" s="396"/>
      <c r="D209" s="396"/>
    </row>
    <row r="210" spans="1:4" s="8" customFormat="1" ht="16" thickBot="1" x14ac:dyDescent="0.4">
      <c r="A210" s="4">
        <v>1</v>
      </c>
      <c r="B210" s="3" t="s">
        <v>207</v>
      </c>
      <c r="C210" s="4" t="s">
        <v>7</v>
      </c>
      <c r="D210" s="81" t="str">
        <f>D222</f>
        <v>Холл первого этажа</v>
      </c>
    </row>
    <row r="211" spans="1:4" s="8" customFormat="1" ht="26.5" thickBot="1" x14ac:dyDescent="0.4">
      <c r="A211" s="4" t="s">
        <v>276</v>
      </c>
      <c r="B211" s="3" t="s">
        <v>210</v>
      </c>
      <c r="C211" s="4" t="s">
        <v>7</v>
      </c>
      <c r="D211" s="82" t="s">
        <v>224</v>
      </c>
    </row>
    <row r="212" spans="1:4" s="8" customFormat="1" ht="16" thickBot="1" x14ac:dyDescent="0.4">
      <c r="A212" s="4" t="s">
        <v>277</v>
      </c>
      <c r="B212" s="3" t="s">
        <v>213</v>
      </c>
      <c r="C212" s="4" t="s">
        <v>7</v>
      </c>
      <c r="D212" s="81" t="s">
        <v>280</v>
      </c>
    </row>
    <row r="213" spans="1:4" s="8" customFormat="1" ht="16" thickBot="1" x14ac:dyDescent="0.4">
      <c r="A213" s="36" t="s">
        <v>278</v>
      </c>
      <c r="B213" s="3" t="s">
        <v>216</v>
      </c>
      <c r="C213" s="4" t="s">
        <v>7</v>
      </c>
      <c r="D213" s="49">
        <v>2024</v>
      </c>
    </row>
    <row r="214" spans="1:4" s="8" customFormat="1" ht="16" thickBot="1" x14ac:dyDescent="0.4">
      <c r="A214" s="7" t="s">
        <v>279</v>
      </c>
      <c r="B214" s="6" t="s">
        <v>274</v>
      </c>
      <c r="C214" s="7" t="s">
        <v>141</v>
      </c>
      <c r="D214" s="11">
        <v>7200</v>
      </c>
    </row>
    <row r="215" spans="1:4" s="8" customFormat="1" ht="6.5" customHeight="1" thickBot="1" x14ac:dyDescent="0.4">
      <c r="A215" s="13"/>
      <c r="B215" s="12"/>
      <c r="C215" s="13"/>
      <c r="D215" s="82"/>
    </row>
    <row r="216" spans="1:4" s="8" customFormat="1" ht="16" thickBot="1" x14ac:dyDescent="0.4">
      <c r="A216" s="15">
        <v>3</v>
      </c>
      <c r="B216" s="14" t="s">
        <v>207</v>
      </c>
      <c r="C216" s="15"/>
      <c r="D216" s="10" t="s">
        <v>208</v>
      </c>
    </row>
    <row r="217" spans="1:4" s="8" customFormat="1" ht="16" thickBot="1" x14ac:dyDescent="0.4">
      <c r="A217" s="4" t="s">
        <v>218</v>
      </c>
      <c r="B217" s="3" t="s">
        <v>210</v>
      </c>
      <c r="C217" s="4" t="s">
        <v>7</v>
      </c>
      <c r="D217" s="81" t="s">
        <v>211</v>
      </c>
    </row>
    <row r="218" spans="1:4" s="8" customFormat="1" ht="16" thickBot="1" x14ac:dyDescent="0.4">
      <c r="A218" s="4" t="s">
        <v>219</v>
      </c>
      <c r="B218" s="3" t="s">
        <v>213</v>
      </c>
      <c r="C218" s="4" t="s">
        <v>7</v>
      </c>
      <c r="D218" s="81" t="s">
        <v>490</v>
      </c>
    </row>
    <row r="219" spans="1:4" s="8" customFormat="1" ht="16" thickBot="1" x14ac:dyDescent="0.4">
      <c r="A219" s="4" t="s">
        <v>221</v>
      </c>
      <c r="B219" s="3" t="s">
        <v>216</v>
      </c>
      <c r="C219" s="4" t="s">
        <v>7</v>
      </c>
      <c r="D219" s="49">
        <v>2021</v>
      </c>
    </row>
    <row r="220" spans="1:4" s="8" customFormat="1" ht="16" thickBot="1" x14ac:dyDescent="0.4">
      <c r="A220" s="7" t="s">
        <v>222</v>
      </c>
      <c r="B220" s="6" t="s">
        <v>274</v>
      </c>
      <c r="C220" s="7" t="s">
        <v>141</v>
      </c>
      <c r="D220" s="11">
        <v>10000</v>
      </c>
    </row>
    <row r="221" spans="1:4" s="8" customFormat="1" ht="6.5" customHeight="1" thickBot="1" x14ac:dyDescent="0.4">
      <c r="A221" s="13"/>
      <c r="B221" s="12"/>
      <c r="C221" s="13"/>
      <c r="D221" s="82"/>
    </row>
    <row r="222" spans="1:4" s="8" customFormat="1" ht="16" thickBot="1" x14ac:dyDescent="0.4">
      <c r="A222" s="13">
        <v>4</v>
      </c>
      <c r="B222" s="12" t="s">
        <v>207</v>
      </c>
      <c r="C222" s="13"/>
      <c r="D222" s="82" t="s">
        <v>223</v>
      </c>
    </row>
    <row r="223" spans="1:4" s="8" customFormat="1" ht="26.5" thickBot="1" x14ac:dyDescent="0.4">
      <c r="A223" s="13" t="s">
        <v>159</v>
      </c>
      <c r="B223" s="12" t="s">
        <v>210</v>
      </c>
      <c r="C223" s="13" t="s">
        <v>7</v>
      </c>
      <c r="D223" s="82" t="s">
        <v>224</v>
      </c>
    </row>
    <row r="224" spans="1:4" s="8" customFormat="1" ht="15.5" customHeight="1" x14ac:dyDescent="0.35">
      <c r="A224" s="425" t="s">
        <v>160</v>
      </c>
      <c r="B224" s="427" t="s">
        <v>213</v>
      </c>
      <c r="C224" s="425" t="s">
        <v>7</v>
      </c>
      <c r="D224" s="429" t="s">
        <v>491</v>
      </c>
    </row>
    <row r="225" spans="1:4" s="8" customFormat="1" ht="16" thickBot="1" x14ac:dyDescent="0.4">
      <c r="A225" s="426"/>
      <c r="B225" s="428"/>
      <c r="C225" s="426"/>
      <c r="D225" s="430"/>
    </row>
    <row r="226" spans="1:4" s="8" customFormat="1" ht="16" thickBot="1" x14ac:dyDescent="0.4">
      <c r="A226" s="13" t="s">
        <v>162</v>
      </c>
      <c r="B226" s="12" t="s">
        <v>216</v>
      </c>
      <c r="C226" s="13" t="s">
        <v>7</v>
      </c>
      <c r="D226" s="50">
        <v>2015</v>
      </c>
    </row>
    <row r="227" spans="1:4" s="8" customFormat="1" ht="19" customHeight="1" thickBot="1" x14ac:dyDescent="0.4">
      <c r="A227" s="13" t="s">
        <v>164</v>
      </c>
      <c r="B227" s="6" t="s">
        <v>274</v>
      </c>
      <c r="C227" s="13" t="s">
        <v>141</v>
      </c>
      <c r="D227" s="249">
        <v>12000</v>
      </c>
    </row>
    <row r="228" spans="1:4" s="8" customFormat="1" ht="15.5" x14ac:dyDescent="0.35">
      <c r="A228" s="9"/>
    </row>
    <row r="229" spans="1:4" s="8" customFormat="1" ht="15.5" hidden="1" x14ac:dyDescent="0.35">
      <c r="A229" s="394" t="s">
        <v>228</v>
      </c>
      <c r="B229" s="394"/>
      <c r="C229" s="394"/>
      <c r="D229" s="394"/>
    </row>
    <row r="230" spans="1:4" s="8" customFormat="1" ht="15.5" hidden="1" x14ac:dyDescent="0.35">
      <c r="A230" s="37"/>
    </row>
    <row r="231" spans="1:4" s="8" customFormat="1" ht="15.5" hidden="1" x14ac:dyDescent="0.35">
      <c r="A231" s="1" t="s">
        <v>0</v>
      </c>
      <c r="B231" s="395" t="s">
        <v>2</v>
      </c>
      <c r="C231" s="395" t="s">
        <v>3</v>
      </c>
      <c r="D231" s="395" t="s">
        <v>4</v>
      </c>
    </row>
    <row r="232" spans="1:4" s="8" customFormat="1" ht="16" hidden="1" thickBot="1" x14ac:dyDescent="0.4">
      <c r="A232" s="2" t="s">
        <v>1</v>
      </c>
      <c r="B232" s="396"/>
      <c r="C232" s="396"/>
      <c r="D232" s="396"/>
    </row>
    <row r="233" spans="1:4" s="8" customFormat="1" ht="16" hidden="1" x14ac:dyDescent="0.35">
      <c r="A233" s="4" t="s">
        <v>5</v>
      </c>
      <c r="B233" s="16" t="s">
        <v>6</v>
      </c>
      <c r="C233" s="4" t="s">
        <v>7</v>
      </c>
      <c r="D233" s="5">
        <v>43851</v>
      </c>
    </row>
    <row r="234" spans="1:4" s="8" customFormat="1" ht="46.5" hidden="1" x14ac:dyDescent="0.35">
      <c r="A234" s="4" t="s">
        <v>5</v>
      </c>
      <c r="B234" s="3" t="s">
        <v>229</v>
      </c>
      <c r="C234" s="4" t="s">
        <v>7</v>
      </c>
      <c r="D234" s="17" t="s">
        <v>230</v>
      </c>
    </row>
    <row r="235" spans="1:4" s="8" customFormat="1" ht="47" hidden="1" thickBot="1" x14ac:dyDescent="0.4">
      <c r="A235" s="7" t="s">
        <v>9</v>
      </c>
      <c r="B235" s="6" t="s">
        <v>229</v>
      </c>
      <c r="C235" s="7" t="s">
        <v>7</v>
      </c>
      <c r="D235" s="18" t="s">
        <v>231</v>
      </c>
    </row>
    <row r="236" spans="1:4" s="8" customFormat="1" ht="47" hidden="1" thickBot="1" x14ac:dyDescent="0.4">
      <c r="A236" s="13" t="s">
        <v>12</v>
      </c>
      <c r="B236" s="12" t="s">
        <v>229</v>
      </c>
      <c r="C236" s="13" t="s">
        <v>7</v>
      </c>
      <c r="D236" s="19" t="s">
        <v>232</v>
      </c>
    </row>
    <row r="237" spans="1:4" s="8" customFormat="1" ht="47" hidden="1" thickBot="1" x14ac:dyDescent="0.4">
      <c r="A237" s="13" t="s">
        <v>15</v>
      </c>
      <c r="B237" s="12" t="s">
        <v>229</v>
      </c>
      <c r="C237" s="13" t="s">
        <v>7</v>
      </c>
      <c r="D237" s="19" t="s">
        <v>233</v>
      </c>
    </row>
    <row r="238" spans="1:4" s="8" customFormat="1" ht="47" hidden="1" thickBot="1" x14ac:dyDescent="0.4">
      <c r="A238" s="13" t="s">
        <v>18</v>
      </c>
      <c r="B238" s="20" t="s">
        <v>229</v>
      </c>
      <c r="C238" s="13" t="s">
        <v>7</v>
      </c>
      <c r="D238" s="19" t="s">
        <v>234</v>
      </c>
    </row>
    <row r="239" spans="1:4" s="8" customFormat="1" ht="47" hidden="1" thickBot="1" x14ac:dyDescent="0.4">
      <c r="A239" s="13" t="s">
        <v>21</v>
      </c>
      <c r="B239" s="20" t="s">
        <v>229</v>
      </c>
      <c r="C239" s="13" t="s">
        <v>7</v>
      </c>
      <c r="D239" s="19" t="s">
        <v>235</v>
      </c>
    </row>
    <row r="240" spans="1:4" s="8" customFormat="1" ht="47" hidden="1" thickBot="1" x14ac:dyDescent="0.4">
      <c r="A240" s="13" t="s">
        <v>23</v>
      </c>
      <c r="B240" s="20" t="s">
        <v>229</v>
      </c>
      <c r="C240" s="13" t="s">
        <v>7</v>
      </c>
      <c r="D240" s="19" t="s">
        <v>236</v>
      </c>
    </row>
    <row r="241" spans="1:4" s="8" customFormat="1" ht="47" hidden="1" thickBot="1" x14ac:dyDescent="0.4">
      <c r="A241" s="13" t="s">
        <v>26</v>
      </c>
      <c r="B241" s="20" t="s">
        <v>229</v>
      </c>
      <c r="C241" s="13" t="s">
        <v>7</v>
      </c>
      <c r="D241" s="19" t="s">
        <v>237</v>
      </c>
    </row>
    <row r="242" spans="1:4" s="8" customFormat="1" ht="16" hidden="1" thickBot="1" x14ac:dyDescent="0.4">
      <c r="A242" s="13"/>
      <c r="B242" s="12"/>
      <c r="C242" s="13"/>
      <c r="D242" s="19"/>
    </row>
    <row r="243" spans="1:4" s="8" customFormat="1" ht="15.5" x14ac:dyDescent="0.35">
      <c r="A243" s="9"/>
    </row>
    <row r="244" spans="1:4" s="8" customFormat="1" ht="16" x14ac:dyDescent="0.4">
      <c r="A244" s="397" t="s">
        <v>238</v>
      </c>
      <c r="B244" s="397"/>
      <c r="C244" s="397"/>
      <c r="D244" s="397"/>
    </row>
    <row r="245" spans="1:4" s="8" customFormat="1" ht="15.5" x14ac:dyDescent="0.35">
      <c r="A245" s="9"/>
    </row>
    <row r="246" spans="1:4" s="8" customFormat="1" ht="15.5" x14ac:dyDescent="0.35">
      <c r="A246" s="72" t="s">
        <v>0</v>
      </c>
      <c r="B246" s="422" t="s">
        <v>2</v>
      </c>
      <c r="C246" s="422" t="s">
        <v>3</v>
      </c>
      <c r="D246" s="422" t="s">
        <v>4</v>
      </c>
    </row>
    <row r="247" spans="1:4" s="8" customFormat="1" ht="15.5" x14ac:dyDescent="0.35">
      <c r="A247" s="72" t="s">
        <v>1</v>
      </c>
      <c r="B247" s="422"/>
      <c r="C247" s="422"/>
      <c r="D247" s="422"/>
    </row>
    <row r="248" spans="1:4" s="8" customFormat="1" ht="16" x14ac:dyDescent="0.35">
      <c r="A248" s="75" t="s">
        <v>5</v>
      </c>
      <c r="B248" s="80" t="s">
        <v>6</v>
      </c>
      <c r="C248" s="75" t="s">
        <v>7</v>
      </c>
      <c r="D248" s="23">
        <v>46073</v>
      </c>
    </row>
    <row r="249" spans="1:4" s="8" customFormat="1" ht="16" x14ac:dyDescent="0.35">
      <c r="A249" s="75" t="s">
        <v>9</v>
      </c>
      <c r="B249" s="80" t="s">
        <v>239</v>
      </c>
      <c r="C249" s="75" t="s">
        <v>7</v>
      </c>
      <c r="D249" s="23">
        <v>45658</v>
      </c>
    </row>
    <row r="250" spans="1:4" s="8" customFormat="1" ht="16" x14ac:dyDescent="0.35">
      <c r="A250" s="75" t="s">
        <v>12</v>
      </c>
      <c r="B250" s="80" t="s">
        <v>240</v>
      </c>
      <c r="C250" s="75" t="s">
        <v>7</v>
      </c>
      <c r="D250" s="23">
        <v>46022</v>
      </c>
    </row>
    <row r="251" spans="1:4" s="8" customFormat="1" ht="30" customHeight="1" x14ac:dyDescent="0.35">
      <c r="A251" s="420" t="s">
        <v>241</v>
      </c>
      <c r="B251" s="420"/>
      <c r="C251" s="420"/>
      <c r="D251" s="420"/>
    </row>
    <row r="252" spans="1:4" s="8" customFormat="1" ht="31" x14ac:dyDescent="0.35">
      <c r="A252" s="75" t="s">
        <v>15</v>
      </c>
      <c r="B252" s="80" t="s">
        <v>242</v>
      </c>
      <c r="C252" s="75" t="s">
        <v>141</v>
      </c>
      <c r="D252" s="283">
        <f>'[4]К. Беляева 61в'!$D$27</f>
        <v>-1688118.16092163</v>
      </c>
    </row>
    <row r="253" spans="1:4" s="8" customFormat="1" ht="16" x14ac:dyDescent="0.35">
      <c r="A253" s="75" t="s">
        <v>18</v>
      </c>
      <c r="B253" s="80" t="s">
        <v>243</v>
      </c>
      <c r="C253" s="75" t="s">
        <v>141</v>
      </c>
      <c r="D253" s="33">
        <v>0</v>
      </c>
    </row>
    <row r="254" spans="1:4" s="8" customFormat="1" ht="15.5" x14ac:dyDescent="0.35">
      <c r="A254" s="75" t="s">
        <v>21</v>
      </c>
      <c r="B254" s="74" t="s">
        <v>343</v>
      </c>
      <c r="C254" s="72" t="s">
        <v>141</v>
      </c>
      <c r="D254" s="76">
        <f>[26]Лист_1!$F$386</f>
        <v>512137.75</v>
      </c>
    </row>
    <row r="255" spans="1:4" s="8" customFormat="1" ht="15.5" x14ac:dyDescent="0.35">
      <c r="A255" s="75">
        <v>7</v>
      </c>
      <c r="B255" s="74" t="s">
        <v>344</v>
      </c>
      <c r="C255" s="72"/>
      <c r="D255" s="76">
        <f>[26]Лист_1!$AH$384</f>
        <v>558517.52</v>
      </c>
    </row>
    <row r="256" spans="1:4" s="8" customFormat="1" ht="15.5" x14ac:dyDescent="0.35">
      <c r="A256" s="432">
        <v>8</v>
      </c>
      <c r="B256" s="420" t="s">
        <v>245</v>
      </c>
      <c r="C256" s="422" t="s">
        <v>141</v>
      </c>
      <c r="D256" s="433">
        <f>[26]Лист_1!$M$386</f>
        <v>2696310.16</v>
      </c>
    </row>
    <row r="257" spans="1:7" s="8" customFormat="1" ht="15.5" x14ac:dyDescent="0.35">
      <c r="A257" s="432"/>
      <c r="B257" s="420"/>
      <c r="C257" s="422"/>
      <c r="D257" s="433"/>
    </row>
    <row r="258" spans="1:7" s="8" customFormat="1" ht="15.5" x14ac:dyDescent="0.35">
      <c r="A258" s="54">
        <v>9</v>
      </c>
      <c r="B258" s="55" t="s">
        <v>282</v>
      </c>
      <c r="C258" s="54" t="s">
        <v>141</v>
      </c>
      <c r="D258" s="66">
        <f>[26]Лист_1!$M$388</f>
        <v>2045252.1703483963</v>
      </c>
    </row>
    <row r="259" spans="1:7" s="8" customFormat="1" ht="15.5" x14ac:dyDescent="0.35">
      <c r="A259" s="54">
        <v>10</v>
      </c>
      <c r="B259" s="55" t="s">
        <v>283</v>
      </c>
      <c r="C259" s="54" t="s">
        <v>141</v>
      </c>
      <c r="D259" s="66">
        <f>[26]Лист_1!$M$389</f>
        <v>651057.98965160409</v>
      </c>
    </row>
    <row r="260" spans="1:7" s="8" customFormat="1" ht="15.5" x14ac:dyDescent="0.35">
      <c r="A260" s="422">
        <v>11</v>
      </c>
      <c r="B260" s="420" t="s">
        <v>246</v>
      </c>
      <c r="C260" s="422" t="s">
        <v>141</v>
      </c>
      <c r="D260" s="431">
        <f>[26]Лист_1!$AE$386+D270</f>
        <v>3712969.22</v>
      </c>
      <c r="F260" s="284">
        <f>D265+D266+D268+D270</f>
        <v>3712969.22</v>
      </c>
    </row>
    <row r="261" spans="1:7" s="8" customFormat="1" ht="7.5" customHeight="1" x14ac:dyDescent="0.35">
      <c r="A261" s="422"/>
      <c r="B261" s="420"/>
      <c r="C261" s="422"/>
      <c r="D261" s="431"/>
    </row>
    <row r="262" spans="1:7" s="8" customFormat="1" ht="15.5" hidden="1" x14ac:dyDescent="0.35">
      <c r="A262" s="422"/>
      <c r="B262" s="420"/>
      <c r="C262" s="422"/>
      <c r="D262" s="431"/>
    </row>
    <row r="263" spans="1:7" s="8" customFormat="1" ht="7" customHeight="1" x14ac:dyDescent="0.35">
      <c r="A263" s="432">
        <v>12</v>
      </c>
      <c r="B263" s="416" t="s">
        <v>247</v>
      </c>
      <c r="C263" s="432" t="s">
        <v>141</v>
      </c>
      <c r="D263" s="433">
        <f>D260</f>
        <v>3712969.22</v>
      </c>
    </row>
    <row r="264" spans="1:7" s="8" customFormat="1" ht="9" customHeight="1" x14ac:dyDescent="0.35">
      <c r="A264" s="432"/>
      <c r="B264" s="416"/>
      <c r="C264" s="432"/>
      <c r="D264" s="433"/>
    </row>
    <row r="265" spans="1:7" s="8" customFormat="1" ht="15.5" x14ac:dyDescent="0.35">
      <c r="A265" s="75">
        <v>13</v>
      </c>
      <c r="B265" s="80" t="s">
        <v>300</v>
      </c>
      <c r="C265" s="75" t="s">
        <v>141</v>
      </c>
      <c r="D265" s="76">
        <f>[26]Лист_1!$Z$393</f>
        <v>3581831.22</v>
      </c>
    </row>
    <row r="266" spans="1:7" s="8" customFormat="1" ht="15.5" x14ac:dyDescent="0.35">
      <c r="A266" s="75">
        <v>14</v>
      </c>
      <c r="B266" s="80" t="s">
        <v>290</v>
      </c>
      <c r="C266" s="75" t="s">
        <v>141</v>
      </c>
      <c r="D266" s="76">
        <f>[26]Лист_1!$Z$392</f>
        <v>101477.02</v>
      </c>
    </row>
    <row r="267" spans="1:7" s="8" customFormat="1" ht="15.5" x14ac:dyDescent="0.35">
      <c r="A267" s="75">
        <v>15</v>
      </c>
      <c r="B267" s="80" t="s">
        <v>289</v>
      </c>
      <c r="C267" s="75" t="s">
        <v>141</v>
      </c>
      <c r="D267" s="76">
        <v>0</v>
      </c>
    </row>
    <row r="268" spans="1:7" s="8" customFormat="1" ht="15.5" x14ac:dyDescent="0.35">
      <c r="A268" s="75">
        <v>16</v>
      </c>
      <c r="B268" s="80" t="s">
        <v>248</v>
      </c>
      <c r="C268" s="75" t="s">
        <v>141</v>
      </c>
      <c r="D268" s="66">
        <f>[26]Лист_1!$Z$394</f>
        <v>460.98</v>
      </c>
    </row>
    <row r="269" spans="1:7" s="8" customFormat="1" ht="15.5" x14ac:dyDescent="0.35">
      <c r="A269" s="75">
        <v>17</v>
      </c>
      <c r="B269" s="80" t="s">
        <v>249</v>
      </c>
      <c r="C269" s="75" t="s">
        <v>141</v>
      </c>
      <c r="D269" s="44">
        <v>0</v>
      </c>
    </row>
    <row r="270" spans="1:7" s="57" customFormat="1" ht="15.5" x14ac:dyDescent="0.35">
      <c r="A270" s="175" t="s">
        <v>42</v>
      </c>
      <c r="B270" s="280" t="s">
        <v>457</v>
      </c>
      <c r="C270" s="281" t="str">
        <f>C269</f>
        <v>руб.</v>
      </c>
      <c r="D270" s="68">
        <f>D214+D220+D227</f>
        <v>29200</v>
      </c>
      <c r="G270" s="198">
        <f>H53</f>
        <v>0</v>
      </c>
    </row>
    <row r="271" spans="1:7" s="8" customFormat="1" ht="15.5" x14ac:dyDescent="0.35">
      <c r="A271" s="75">
        <v>19</v>
      </c>
      <c r="B271" s="80" t="s">
        <v>250</v>
      </c>
      <c r="C271" s="75" t="s">
        <v>141</v>
      </c>
      <c r="D271" s="44">
        <v>0</v>
      </c>
    </row>
    <row r="272" spans="1:7" s="8" customFormat="1" ht="31" x14ac:dyDescent="0.35">
      <c r="A272" s="75" t="s">
        <v>44</v>
      </c>
      <c r="B272" s="77" t="s">
        <v>301</v>
      </c>
      <c r="C272" s="78" t="s">
        <v>141</v>
      </c>
      <c r="D272" s="283">
        <f>'[4]К. Беляева 61в'!$D$71</f>
        <v>-2956505.0900273211</v>
      </c>
    </row>
    <row r="273" spans="1:4" s="8" customFormat="1" ht="15.5" x14ac:dyDescent="0.35">
      <c r="A273" s="75">
        <v>21</v>
      </c>
      <c r="B273" s="80" t="s">
        <v>243</v>
      </c>
      <c r="C273" s="75" t="s">
        <v>141</v>
      </c>
      <c r="D273" s="44">
        <v>0</v>
      </c>
    </row>
    <row r="274" spans="1:4" s="8" customFormat="1" ht="16" hidden="1" x14ac:dyDescent="0.35">
      <c r="A274" s="51" t="s">
        <v>51</v>
      </c>
      <c r="B274" s="52" t="s">
        <v>251</v>
      </c>
      <c r="C274" s="21" t="s">
        <v>141</v>
      </c>
      <c r="D274" s="53">
        <v>7791.29</v>
      </c>
    </row>
  </sheetData>
  <mergeCells count="122">
    <mergeCell ref="A263:A264"/>
    <mergeCell ref="B263:B264"/>
    <mergeCell ref="C263:C264"/>
    <mergeCell ref="D263:D264"/>
    <mergeCell ref="A251:D251"/>
    <mergeCell ref="A256:A257"/>
    <mergeCell ref="B256:B257"/>
    <mergeCell ref="C256:C257"/>
    <mergeCell ref="D256:D257"/>
    <mergeCell ref="B231:B232"/>
    <mergeCell ref="C231:C232"/>
    <mergeCell ref="D231:D232"/>
    <mergeCell ref="A244:D244"/>
    <mergeCell ref="B246:B247"/>
    <mergeCell ref="C246:C247"/>
    <mergeCell ref="D246:D247"/>
    <mergeCell ref="A229:D229"/>
    <mergeCell ref="A260:A262"/>
    <mergeCell ref="B260:B262"/>
    <mergeCell ref="C260:C262"/>
    <mergeCell ref="D260:D262"/>
    <mergeCell ref="D140:H140"/>
    <mergeCell ref="D141:H141"/>
    <mergeCell ref="D142:H142"/>
    <mergeCell ref="B178:B179"/>
    <mergeCell ref="C178:C179"/>
    <mergeCell ref="D178:D179"/>
    <mergeCell ref="A224:A225"/>
    <mergeCell ref="B224:B225"/>
    <mergeCell ref="C224:C225"/>
    <mergeCell ref="D224:D225"/>
    <mergeCell ref="B191:B192"/>
    <mergeCell ref="C191:C192"/>
    <mergeCell ref="D191:D192"/>
    <mergeCell ref="A206:D206"/>
    <mergeCell ref="B208:B209"/>
    <mergeCell ref="C208:C209"/>
    <mergeCell ref="D208:D209"/>
    <mergeCell ref="D151:H151"/>
    <mergeCell ref="D152:H152"/>
    <mergeCell ref="D150:H150"/>
    <mergeCell ref="B143:B144"/>
    <mergeCell ref="C143:C144"/>
    <mergeCell ref="D143:H143"/>
    <mergeCell ref="D144:H144"/>
    <mergeCell ref="D133:H133"/>
    <mergeCell ref="D134:H134"/>
    <mergeCell ref="D135:H135"/>
    <mergeCell ref="D136:H136"/>
    <mergeCell ref="B137:B138"/>
    <mergeCell ref="C137:C138"/>
    <mergeCell ref="D137:H137"/>
    <mergeCell ref="D138:H138"/>
    <mergeCell ref="D139:H139"/>
    <mergeCell ref="A89:D89"/>
    <mergeCell ref="B123:B124"/>
    <mergeCell ref="C123:C124"/>
    <mergeCell ref="A81:D81"/>
    <mergeCell ref="A83:D83"/>
    <mergeCell ref="A85:D85"/>
    <mergeCell ref="A87:D87"/>
    <mergeCell ref="B91:B92"/>
    <mergeCell ref="C91:C92"/>
    <mergeCell ref="A122:H122"/>
    <mergeCell ref="D123:H124"/>
    <mergeCell ref="A33:D33"/>
    <mergeCell ref="A38:D38"/>
    <mergeCell ref="B39:B40"/>
    <mergeCell ref="C39:C40"/>
    <mergeCell ref="A52:D52"/>
    <mergeCell ref="A54:D54"/>
    <mergeCell ref="A57:D57"/>
    <mergeCell ref="A67:D67"/>
    <mergeCell ref="A74:D74"/>
    <mergeCell ref="D39:D40"/>
    <mergeCell ref="A42:D42"/>
    <mergeCell ref="A44:D44"/>
    <mergeCell ref="A47:D47"/>
    <mergeCell ref="A49:D49"/>
    <mergeCell ref="A1:D1"/>
    <mergeCell ref="A2:D2"/>
    <mergeCell ref="A3:D3"/>
    <mergeCell ref="B4:B5"/>
    <mergeCell ref="C4:C5"/>
    <mergeCell ref="D4:D5"/>
    <mergeCell ref="A7:D7"/>
    <mergeCell ref="A10:D10"/>
    <mergeCell ref="A12:D12"/>
    <mergeCell ref="D125:H125"/>
    <mergeCell ref="D126:H126"/>
    <mergeCell ref="D127:H127"/>
    <mergeCell ref="D128:H128"/>
    <mergeCell ref="D129:H129"/>
    <mergeCell ref="D130:H130"/>
    <mergeCell ref="B131:B132"/>
    <mergeCell ref="C131:C132"/>
    <mergeCell ref="D131:H131"/>
    <mergeCell ref="D132:H132"/>
    <mergeCell ref="D145:H145"/>
    <mergeCell ref="D146:H146"/>
    <mergeCell ref="D147:H147"/>
    <mergeCell ref="D148:H148"/>
    <mergeCell ref="D149:H149"/>
    <mergeCell ref="B149:B150"/>
    <mergeCell ref="C149:C150"/>
    <mergeCell ref="D162:H162"/>
    <mergeCell ref="D163:H163"/>
    <mergeCell ref="D164:H164"/>
    <mergeCell ref="D165:H165"/>
    <mergeCell ref="D166:H166"/>
    <mergeCell ref="D167:H167"/>
    <mergeCell ref="D168:H168"/>
    <mergeCell ref="D171:H171"/>
    <mergeCell ref="D153:H153"/>
    <mergeCell ref="D154:H154"/>
    <mergeCell ref="D155:H155"/>
    <mergeCell ref="D156:H156"/>
    <mergeCell ref="D157:H157"/>
    <mergeCell ref="D158:H158"/>
    <mergeCell ref="D159:H159"/>
    <mergeCell ref="B160:H160"/>
    <mergeCell ref="D161:H161"/>
  </mergeCells>
  <dataValidations count="2">
    <dataValidation type="list" allowBlank="1" showInputMessage="1" showErrorMessage="1" sqref="B93:B121" xr:uid="{B9533384-6B08-4863-BFCB-B3B675EFB203}">
      <formula1>#REF!</formula1>
    </dataValidation>
    <dataValidation type="list" allowBlank="1" showInputMessage="1" showErrorMessage="1" sqref="B93:B121" xr:uid="{3FD22BD3-52A8-4B15-9A67-56847D70695F}">
      <formula1>Справочник_работ_и_услуг</formula1>
    </dataValidation>
  </dataValidations>
  <pageMargins left="0.51181102362204722" right="0.31496062992125984" top="0.15748031496062992" bottom="0.15748031496062992" header="0.31496062992125984" footer="0.31496062992125984"/>
  <pageSetup paperSize="9" scale="96" fitToHeight="0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377D3-AF47-4736-AE87-60BE614DF372}">
  <sheetPr>
    <pageSetUpPr fitToPage="1"/>
  </sheetPr>
  <dimension ref="A1:BI251"/>
  <sheetViews>
    <sheetView topLeftCell="A226" zoomScale="55" zoomScaleNormal="55" workbookViewId="0">
      <selection activeCell="D242" sqref="A1:H242"/>
    </sheetView>
  </sheetViews>
  <sheetFormatPr defaultRowHeight="15.5" x14ac:dyDescent="0.35"/>
  <cols>
    <col min="1" max="1" width="16.1796875" style="9" customWidth="1"/>
    <col min="2" max="2" width="63.1796875" style="8" customWidth="1"/>
    <col min="3" max="3" width="8.7265625" style="8"/>
    <col min="4" max="4" width="34.1796875" style="8" customWidth="1"/>
    <col min="5" max="5" width="0" style="8" hidden="1" customWidth="1"/>
    <col min="6" max="6" width="12.81640625" style="8" hidden="1" customWidth="1"/>
    <col min="7" max="7" width="9" style="8" hidden="1" customWidth="1"/>
    <col min="8" max="8" width="11.36328125" style="8" hidden="1" customWidth="1"/>
    <col min="9" max="9" width="10.6328125" style="8" hidden="1" customWidth="1"/>
    <col min="10" max="15" width="0" style="8" hidden="1" customWidth="1"/>
    <col min="16" max="16384" width="8.7265625" style="8"/>
  </cols>
  <sheetData>
    <row r="1" spans="1:8" customFormat="1" ht="63.75" customHeight="1" x14ac:dyDescent="0.35">
      <c r="A1" s="437" t="s">
        <v>336</v>
      </c>
      <c r="B1" s="438"/>
      <c r="C1" s="438"/>
      <c r="D1" s="438"/>
      <c r="E1" s="439"/>
      <c r="F1" s="439"/>
      <c r="G1" s="439"/>
      <c r="H1" s="439"/>
    </row>
    <row r="2" spans="1:8" x14ac:dyDescent="0.35">
      <c r="A2" s="440" t="s">
        <v>337</v>
      </c>
      <c r="B2" s="440"/>
      <c r="C2" s="440"/>
      <c r="D2" s="440"/>
      <c r="E2" s="25"/>
      <c r="F2" s="25"/>
      <c r="G2" s="25"/>
      <c r="H2" s="25"/>
    </row>
    <row r="3" spans="1:8" x14ac:dyDescent="0.35">
      <c r="A3" s="440" t="s">
        <v>484</v>
      </c>
      <c r="B3" s="440"/>
      <c r="C3" s="440"/>
      <c r="D3" s="440"/>
      <c r="E3" s="25"/>
      <c r="F3" s="25"/>
      <c r="G3" s="25"/>
      <c r="H3" s="25"/>
    </row>
    <row r="4" spans="1:8" ht="43" customHeight="1" x14ac:dyDescent="0.35">
      <c r="A4" s="302" t="s">
        <v>0</v>
      </c>
      <c r="B4" s="422" t="s">
        <v>2</v>
      </c>
      <c r="C4" s="422" t="s">
        <v>3</v>
      </c>
      <c r="D4" s="422" t="s">
        <v>4</v>
      </c>
      <c r="E4" s="25"/>
      <c r="F4" s="25"/>
      <c r="G4" s="25"/>
      <c r="H4" s="25"/>
    </row>
    <row r="5" spans="1:8" x14ac:dyDescent="0.35">
      <c r="A5" s="302" t="s">
        <v>1</v>
      </c>
      <c r="B5" s="422"/>
      <c r="C5" s="422"/>
      <c r="D5" s="422"/>
      <c r="E5" s="25"/>
      <c r="F5" s="25"/>
      <c r="G5" s="25"/>
      <c r="H5" s="25"/>
    </row>
    <row r="6" spans="1:8" x14ac:dyDescent="0.35">
      <c r="A6" s="303" t="s">
        <v>5</v>
      </c>
      <c r="B6" s="301" t="s">
        <v>6</v>
      </c>
      <c r="C6" s="303" t="s">
        <v>7</v>
      </c>
      <c r="D6" s="28">
        <v>46073</v>
      </c>
      <c r="E6" s="25"/>
      <c r="F6" s="25"/>
      <c r="G6" s="25"/>
      <c r="H6" s="25"/>
    </row>
    <row r="7" spans="1:8" ht="21" customHeight="1" x14ac:dyDescent="0.35">
      <c r="A7" s="416" t="s">
        <v>8</v>
      </c>
      <c r="B7" s="416"/>
      <c r="C7" s="416"/>
      <c r="D7" s="416"/>
      <c r="E7" s="25"/>
      <c r="F7" s="25"/>
      <c r="G7" s="25"/>
      <c r="H7" s="25"/>
    </row>
    <row r="8" spans="1:8" ht="35" customHeight="1" x14ac:dyDescent="0.35">
      <c r="A8" s="303" t="s">
        <v>9</v>
      </c>
      <c r="B8" s="301" t="s">
        <v>10</v>
      </c>
      <c r="C8" s="303" t="s">
        <v>7</v>
      </c>
      <c r="D8" s="29" t="s">
        <v>292</v>
      </c>
      <c r="E8" s="25"/>
      <c r="F8" s="25"/>
      <c r="G8" s="25"/>
      <c r="H8" s="25"/>
    </row>
    <row r="9" spans="1:8" x14ac:dyDescent="0.35">
      <c r="A9" s="303" t="s">
        <v>12</v>
      </c>
      <c r="B9" s="301" t="s">
        <v>13</v>
      </c>
      <c r="C9" s="303" t="s">
        <v>7</v>
      </c>
      <c r="D9" s="30"/>
      <c r="E9" s="25"/>
      <c r="F9" s="25"/>
      <c r="G9" s="25"/>
      <c r="H9" s="25"/>
    </row>
    <row r="10" spans="1:8" ht="15" customHeight="1" x14ac:dyDescent="0.35">
      <c r="A10" s="416" t="s">
        <v>14</v>
      </c>
      <c r="B10" s="416"/>
      <c r="C10" s="416"/>
      <c r="D10" s="416"/>
      <c r="E10" s="25"/>
      <c r="F10" s="25"/>
      <c r="G10" s="25"/>
      <c r="H10" s="25"/>
    </row>
    <row r="11" spans="1:8" x14ac:dyDescent="0.35">
      <c r="A11" s="303" t="s">
        <v>15</v>
      </c>
      <c r="B11" s="301" t="s">
        <v>16</v>
      </c>
      <c r="C11" s="303" t="s">
        <v>7</v>
      </c>
      <c r="D11" s="29" t="s">
        <v>257</v>
      </c>
      <c r="E11" s="25"/>
      <c r="F11" s="25"/>
      <c r="G11" s="25"/>
      <c r="H11" s="25"/>
    </row>
    <row r="12" spans="1:8" ht="13" customHeight="1" x14ac:dyDescent="0.35">
      <c r="A12" s="416" t="s">
        <v>17</v>
      </c>
      <c r="B12" s="416"/>
      <c r="C12" s="416"/>
      <c r="D12" s="416"/>
      <c r="E12" s="25"/>
      <c r="F12" s="25"/>
      <c r="G12" s="25"/>
      <c r="H12" s="25"/>
    </row>
    <row r="13" spans="1:8" x14ac:dyDescent="0.35">
      <c r="A13" s="303" t="s">
        <v>18</v>
      </c>
      <c r="B13" s="301" t="s">
        <v>19</v>
      </c>
      <c r="C13" s="303" t="s">
        <v>7</v>
      </c>
      <c r="D13" s="31" t="s">
        <v>492</v>
      </c>
      <c r="E13" s="25"/>
      <c r="F13" s="25"/>
      <c r="G13" s="25"/>
      <c r="H13" s="25"/>
    </row>
    <row r="14" spans="1:8" x14ac:dyDescent="0.35">
      <c r="A14" s="303" t="s">
        <v>21</v>
      </c>
      <c r="B14" s="301" t="s">
        <v>22</v>
      </c>
      <c r="C14" s="303" t="s">
        <v>7</v>
      </c>
      <c r="D14" s="29">
        <v>1986</v>
      </c>
      <c r="E14" s="25"/>
      <c r="F14" s="25"/>
      <c r="G14" s="25"/>
      <c r="H14" s="25"/>
    </row>
    <row r="15" spans="1:8" x14ac:dyDescent="0.35">
      <c r="A15" s="303" t="s">
        <v>23</v>
      </c>
      <c r="B15" s="301" t="s">
        <v>24</v>
      </c>
      <c r="C15" s="303" t="s">
        <v>7</v>
      </c>
      <c r="D15" s="29" t="s">
        <v>25</v>
      </c>
      <c r="E15" s="25"/>
      <c r="F15" s="25"/>
      <c r="G15" s="25"/>
      <c r="H15" s="25"/>
    </row>
    <row r="16" spans="1:8" x14ac:dyDescent="0.35">
      <c r="A16" s="303" t="s">
        <v>26</v>
      </c>
      <c r="B16" s="301" t="s">
        <v>27</v>
      </c>
      <c r="C16" s="303" t="s">
        <v>7</v>
      </c>
      <c r="D16" s="29" t="s">
        <v>28</v>
      </c>
      <c r="E16" s="25"/>
      <c r="F16" s="25"/>
      <c r="G16" s="25"/>
      <c r="H16" s="25"/>
    </row>
    <row r="17" spans="1:8" x14ac:dyDescent="0.35">
      <c r="A17" s="303" t="s">
        <v>29</v>
      </c>
      <c r="B17" s="301" t="s">
        <v>30</v>
      </c>
      <c r="C17" s="303" t="s">
        <v>7</v>
      </c>
      <c r="D17" s="29">
        <v>9</v>
      </c>
      <c r="E17" s="25"/>
      <c r="F17" s="25"/>
      <c r="G17" s="25"/>
      <c r="H17" s="25"/>
    </row>
    <row r="18" spans="1:8" x14ac:dyDescent="0.35">
      <c r="A18" s="303" t="s">
        <v>31</v>
      </c>
      <c r="B18" s="32" t="s">
        <v>32</v>
      </c>
      <c r="C18" s="303" t="s">
        <v>33</v>
      </c>
      <c r="D18" s="29">
        <v>9</v>
      </c>
      <c r="E18" s="25"/>
      <c r="F18" s="25"/>
      <c r="G18" s="25"/>
      <c r="H18" s="25"/>
    </row>
    <row r="19" spans="1:8" x14ac:dyDescent="0.35">
      <c r="A19" s="303" t="s">
        <v>34</v>
      </c>
      <c r="B19" s="32" t="s">
        <v>35</v>
      </c>
      <c r="C19" s="303" t="s">
        <v>33</v>
      </c>
      <c r="D19" s="29">
        <v>1</v>
      </c>
      <c r="E19" s="25"/>
      <c r="F19" s="25"/>
      <c r="G19" s="25"/>
      <c r="H19" s="25"/>
    </row>
    <row r="20" spans="1:8" x14ac:dyDescent="0.35">
      <c r="A20" s="303" t="s">
        <v>36</v>
      </c>
      <c r="B20" s="301" t="s">
        <v>37</v>
      </c>
      <c r="C20" s="303" t="s">
        <v>33</v>
      </c>
      <c r="D20" s="29">
        <v>1</v>
      </c>
      <c r="E20" s="25"/>
      <c r="F20" s="25"/>
      <c r="G20" s="25"/>
      <c r="H20" s="25"/>
    </row>
    <row r="21" spans="1:8" x14ac:dyDescent="0.35">
      <c r="A21" s="303" t="s">
        <v>38</v>
      </c>
      <c r="B21" s="301" t="s">
        <v>39</v>
      </c>
      <c r="C21" s="303" t="s">
        <v>33</v>
      </c>
      <c r="D21" s="29">
        <v>1</v>
      </c>
      <c r="E21" s="25"/>
      <c r="F21" s="25"/>
      <c r="G21" s="25"/>
      <c r="H21" s="25"/>
    </row>
    <row r="22" spans="1:8" x14ac:dyDescent="0.35">
      <c r="A22" s="303" t="s">
        <v>40</v>
      </c>
      <c r="B22" s="301" t="s">
        <v>41</v>
      </c>
      <c r="C22" s="303" t="s">
        <v>7</v>
      </c>
      <c r="D22" s="29"/>
      <c r="E22" s="25"/>
      <c r="F22" s="25"/>
      <c r="G22" s="25"/>
      <c r="H22" s="25"/>
    </row>
    <row r="23" spans="1:8" x14ac:dyDescent="0.35">
      <c r="A23" s="303" t="s">
        <v>42</v>
      </c>
      <c r="B23" s="32" t="s">
        <v>43</v>
      </c>
      <c r="C23" s="303" t="s">
        <v>33</v>
      </c>
      <c r="D23" s="29">
        <v>32</v>
      </c>
      <c r="E23" s="25"/>
      <c r="F23" s="25"/>
      <c r="G23" s="25"/>
      <c r="H23" s="25"/>
    </row>
    <row r="24" spans="1:8" x14ac:dyDescent="0.35">
      <c r="A24" s="303" t="s">
        <v>44</v>
      </c>
      <c r="B24" s="32" t="s">
        <v>45</v>
      </c>
      <c r="C24" s="303" t="s">
        <v>33</v>
      </c>
      <c r="D24" s="29">
        <v>2</v>
      </c>
      <c r="E24" s="25"/>
      <c r="F24" s="25">
        <v>2307</v>
      </c>
      <c r="G24" s="25" t="s">
        <v>498</v>
      </c>
      <c r="H24" s="25"/>
    </row>
    <row r="25" spans="1:8" x14ac:dyDescent="0.35">
      <c r="A25" s="303" t="s">
        <v>46</v>
      </c>
      <c r="B25" s="301" t="s">
        <v>47</v>
      </c>
      <c r="C25" s="303" t="s">
        <v>48</v>
      </c>
      <c r="D25" s="29">
        <v>2829.5</v>
      </c>
      <c r="E25" s="25">
        <v>2307</v>
      </c>
      <c r="F25" s="25"/>
      <c r="G25" s="25"/>
      <c r="H25" s="25"/>
    </row>
    <row r="26" spans="1:8" x14ac:dyDescent="0.35">
      <c r="A26" s="303" t="s">
        <v>49</v>
      </c>
      <c r="B26" s="32" t="s">
        <v>50</v>
      </c>
      <c r="C26" s="303" t="s">
        <v>48</v>
      </c>
      <c r="D26" s="29">
        <v>1845.9</v>
      </c>
      <c r="E26" s="25">
        <f>D26+D27</f>
        <v>2384.4</v>
      </c>
      <c r="F26" s="25">
        <f>D26+D27</f>
        <v>2384.4</v>
      </c>
      <c r="G26" s="25"/>
      <c r="H26" s="25"/>
    </row>
    <row r="27" spans="1:8" x14ac:dyDescent="0.35">
      <c r="A27" s="303" t="s">
        <v>51</v>
      </c>
      <c r="B27" s="32" t="s">
        <v>52</v>
      </c>
      <c r="C27" s="303" t="s">
        <v>48</v>
      </c>
      <c r="D27" s="250">
        <f>265.1+273.4</f>
        <v>538.5</v>
      </c>
      <c r="E27" s="25">
        <f>E25-E26</f>
        <v>-77.400000000000091</v>
      </c>
      <c r="F27" s="25" t="s">
        <v>499</v>
      </c>
      <c r="G27" s="25"/>
      <c r="H27" s="25"/>
    </row>
    <row r="28" spans="1:8" ht="31" x14ac:dyDescent="0.35">
      <c r="A28" s="303" t="s">
        <v>53</v>
      </c>
      <c r="B28" s="32" t="s">
        <v>54</v>
      </c>
      <c r="C28" s="303" t="s">
        <v>48</v>
      </c>
      <c r="D28" s="29">
        <v>165.9</v>
      </c>
      <c r="E28" s="25"/>
      <c r="F28" s="25"/>
      <c r="G28" s="25"/>
      <c r="H28" s="25"/>
    </row>
    <row r="29" spans="1:8" ht="31" x14ac:dyDescent="0.35">
      <c r="A29" s="303" t="s">
        <v>55</v>
      </c>
      <c r="B29" s="301" t="s">
        <v>56</v>
      </c>
      <c r="C29" s="303" t="s">
        <v>7</v>
      </c>
      <c r="D29" s="29"/>
      <c r="E29" s="25"/>
      <c r="F29" s="25"/>
      <c r="G29" s="25"/>
      <c r="H29" s="25"/>
    </row>
    <row r="30" spans="1:8" ht="31" x14ac:dyDescent="0.35">
      <c r="A30" s="303" t="s">
        <v>57</v>
      </c>
      <c r="B30" s="301" t="s">
        <v>58</v>
      </c>
      <c r="C30" s="303" t="s">
        <v>48</v>
      </c>
      <c r="D30" s="29"/>
      <c r="E30" s="25"/>
      <c r="F30" s="25" t="s">
        <v>497</v>
      </c>
      <c r="G30" s="25"/>
      <c r="H30" s="25"/>
    </row>
    <row r="31" spans="1:8" x14ac:dyDescent="0.35">
      <c r="A31" s="303" t="s">
        <v>59</v>
      </c>
      <c r="B31" s="301" t="s">
        <v>60</v>
      </c>
      <c r="C31" s="303" t="s">
        <v>48</v>
      </c>
      <c r="D31" s="29"/>
      <c r="E31" s="25"/>
      <c r="F31" s="25"/>
      <c r="G31" s="25"/>
      <c r="H31" s="25"/>
    </row>
    <row r="32" spans="1:8" x14ac:dyDescent="0.35">
      <c r="A32" s="303" t="s">
        <v>61</v>
      </c>
      <c r="B32" s="301" t="s">
        <v>62</v>
      </c>
      <c r="C32" s="303" t="s">
        <v>7</v>
      </c>
      <c r="D32" s="29" t="s">
        <v>63</v>
      </c>
      <c r="E32" s="25"/>
      <c r="F32" s="25"/>
      <c r="G32" s="25"/>
      <c r="H32" s="25"/>
    </row>
    <row r="33" spans="1:8" x14ac:dyDescent="0.35">
      <c r="A33" s="416" t="s">
        <v>64</v>
      </c>
      <c r="B33" s="416"/>
      <c r="C33" s="416"/>
      <c r="D33" s="416"/>
      <c r="E33" s="25"/>
      <c r="F33" s="25"/>
      <c r="G33" s="25"/>
      <c r="H33" s="25"/>
    </row>
    <row r="34" spans="1:8" x14ac:dyDescent="0.35">
      <c r="A34" s="303" t="s">
        <v>65</v>
      </c>
      <c r="B34" s="301" t="s">
        <v>66</v>
      </c>
      <c r="C34" s="303" t="s">
        <v>7</v>
      </c>
      <c r="D34" s="29"/>
      <c r="E34" s="25"/>
      <c r="F34" s="25"/>
      <c r="G34" s="25"/>
      <c r="H34" s="25"/>
    </row>
    <row r="35" spans="1:8" x14ac:dyDescent="0.35">
      <c r="A35" s="303" t="s">
        <v>68</v>
      </c>
      <c r="B35" s="301" t="s">
        <v>69</v>
      </c>
      <c r="C35" s="303" t="s">
        <v>7</v>
      </c>
      <c r="D35" s="29"/>
      <c r="E35" s="25"/>
      <c r="F35" s="25"/>
      <c r="G35" s="25"/>
      <c r="H35" s="25"/>
    </row>
    <row r="36" spans="1:8" x14ac:dyDescent="0.35">
      <c r="A36" s="303" t="s">
        <v>70</v>
      </c>
      <c r="B36" s="301" t="s">
        <v>259</v>
      </c>
      <c r="C36" s="303" t="s">
        <v>7</v>
      </c>
      <c r="D36" s="29"/>
      <c r="E36" s="25"/>
      <c r="F36" s="25"/>
      <c r="G36" s="25"/>
      <c r="H36" s="25"/>
    </row>
    <row r="37" spans="1:8" x14ac:dyDescent="0.35">
      <c r="A37" s="35"/>
      <c r="B37" s="25"/>
      <c r="C37" s="25"/>
      <c r="D37" s="25"/>
      <c r="E37" s="25"/>
      <c r="F37" s="25"/>
      <c r="G37" s="25"/>
      <c r="H37" s="25"/>
    </row>
    <row r="38" spans="1:8" ht="33" customHeight="1" x14ac:dyDescent="0.35">
      <c r="A38" s="418" t="s">
        <v>71</v>
      </c>
      <c r="B38" s="419"/>
      <c r="C38" s="419"/>
      <c r="D38" s="419"/>
      <c r="E38" s="25"/>
      <c r="F38" s="25"/>
      <c r="G38" s="25"/>
      <c r="H38" s="25"/>
    </row>
    <row r="39" spans="1:8" x14ac:dyDescent="0.35">
      <c r="A39" s="22" t="s">
        <v>0</v>
      </c>
      <c r="B39" s="398" t="s">
        <v>2</v>
      </c>
      <c r="C39" s="398" t="s">
        <v>3</v>
      </c>
      <c r="D39" s="420" t="s">
        <v>4</v>
      </c>
      <c r="E39" s="25"/>
      <c r="F39" s="25"/>
      <c r="G39" s="25"/>
      <c r="H39" s="25"/>
    </row>
    <row r="40" spans="1:8" x14ac:dyDescent="0.35">
      <c r="A40" s="297" t="s">
        <v>1</v>
      </c>
      <c r="B40" s="398"/>
      <c r="C40" s="398"/>
      <c r="D40" s="420"/>
      <c r="E40" s="25"/>
      <c r="F40" s="25"/>
      <c r="G40" s="25"/>
      <c r="H40" s="25"/>
    </row>
    <row r="41" spans="1:8" x14ac:dyDescent="0.35">
      <c r="A41" s="298" t="s">
        <v>5</v>
      </c>
      <c r="B41" s="299" t="s">
        <v>6</v>
      </c>
      <c r="C41" s="298" t="s">
        <v>7</v>
      </c>
      <c r="D41" s="28">
        <v>46073</v>
      </c>
      <c r="E41" s="25"/>
      <c r="F41" s="25"/>
      <c r="G41" s="25"/>
      <c r="H41" s="25"/>
    </row>
    <row r="42" spans="1:8" x14ac:dyDescent="0.35">
      <c r="A42" s="416" t="s">
        <v>72</v>
      </c>
      <c r="B42" s="416"/>
      <c r="C42" s="416"/>
      <c r="D42" s="416"/>
      <c r="E42" s="25"/>
      <c r="F42" s="25"/>
      <c r="G42" s="25"/>
      <c r="H42" s="25"/>
    </row>
    <row r="43" spans="1:8" ht="16" x14ac:dyDescent="0.35">
      <c r="A43" s="298" t="s">
        <v>9</v>
      </c>
      <c r="B43" s="299" t="s">
        <v>73</v>
      </c>
      <c r="C43" s="298" t="s">
        <v>7</v>
      </c>
      <c r="D43" s="33" t="s">
        <v>493</v>
      </c>
      <c r="E43" s="25"/>
      <c r="F43" s="25"/>
      <c r="G43" s="25"/>
      <c r="H43" s="25"/>
    </row>
    <row r="44" spans="1:8" x14ac:dyDescent="0.35">
      <c r="A44" s="416" t="s">
        <v>75</v>
      </c>
      <c r="B44" s="416"/>
      <c r="C44" s="416"/>
      <c r="D44" s="416"/>
      <c r="E44" s="25"/>
      <c r="F44" s="25"/>
      <c r="G44" s="25"/>
      <c r="H44" s="25"/>
    </row>
    <row r="45" spans="1:8" ht="16" x14ac:dyDescent="0.35">
      <c r="A45" s="298" t="s">
        <v>12</v>
      </c>
      <c r="B45" s="299" t="s">
        <v>76</v>
      </c>
      <c r="C45" s="298" t="s">
        <v>7</v>
      </c>
      <c r="D45" s="33" t="s">
        <v>494</v>
      </c>
      <c r="E45" s="25"/>
      <c r="F45" s="25"/>
      <c r="G45" s="25"/>
      <c r="H45" s="25"/>
    </row>
    <row r="46" spans="1:8" ht="16" x14ac:dyDescent="0.35">
      <c r="A46" s="298" t="s">
        <v>15</v>
      </c>
      <c r="B46" s="299" t="s">
        <v>78</v>
      </c>
      <c r="C46" s="298" t="s">
        <v>7</v>
      </c>
      <c r="D46" s="33" t="str">
        <f>D45</f>
        <v>Железобетонные, сборные</v>
      </c>
      <c r="E46" s="25"/>
      <c r="F46" s="25"/>
      <c r="G46" s="25"/>
      <c r="H46" s="25"/>
    </row>
    <row r="47" spans="1:8" x14ac:dyDescent="0.35">
      <c r="A47" s="416" t="s">
        <v>80</v>
      </c>
      <c r="B47" s="416"/>
      <c r="C47" s="416"/>
      <c r="D47" s="416"/>
      <c r="E47" s="25"/>
      <c r="F47" s="25"/>
      <c r="G47" s="25"/>
      <c r="H47" s="25"/>
    </row>
    <row r="48" spans="1:8" ht="32" x14ac:dyDescent="0.35">
      <c r="A48" s="298" t="s">
        <v>18</v>
      </c>
      <c r="B48" s="299" t="s">
        <v>81</v>
      </c>
      <c r="C48" s="298" t="s">
        <v>7</v>
      </c>
      <c r="D48" s="33" t="s">
        <v>495</v>
      </c>
      <c r="E48" s="25"/>
      <c r="F48" s="25"/>
      <c r="G48" s="25"/>
      <c r="H48" s="25"/>
    </row>
    <row r="49" spans="1:8" x14ac:dyDescent="0.35">
      <c r="A49" s="416" t="s">
        <v>83</v>
      </c>
      <c r="B49" s="416"/>
      <c r="C49" s="416"/>
      <c r="D49" s="416"/>
      <c r="E49" s="25"/>
      <c r="F49" s="25"/>
      <c r="G49" s="25"/>
      <c r="H49" s="25"/>
    </row>
    <row r="50" spans="1:8" ht="16" x14ac:dyDescent="0.35">
      <c r="A50" s="298" t="s">
        <v>21</v>
      </c>
      <c r="B50" s="299" t="s">
        <v>84</v>
      </c>
      <c r="C50" s="298" t="s">
        <v>7</v>
      </c>
      <c r="D50" s="33" t="s">
        <v>85</v>
      </c>
      <c r="E50" s="25"/>
      <c r="F50" s="25"/>
      <c r="G50" s="25"/>
      <c r="H50" s="25"/>
    </row>
    <row r="51" spans="1:8" ht="16" x14ac:dyDescent="0.35">
      <c r="A51" s="298" t="s">
        <v>23</v>
      </c>
      <c r="B51" s="299" t="s">
        <v>86</v>
      </c>
      <c r="C51" s="298" t="s">
        <v>7</v>
      </c>
      <c r="D51" s="33" t="s">
        <v>87</v>
      </c>
      <c r="E51" s="25"/>
      <c r="F51" s="25"/>
      <c r="G51" s="25"/>
      <c r="H51" s="25"/>
    </row>
    <row r="52" spans="1:8" x14ac:dyDescent="0.35">
      <c r="A52" s="416" t="s">
        <v>88</v>
      </c>
      <c r="B52" s="416"/>
      <c r="C52" s="416"/>
      <c r="D52" s="416"/>
      <c r="E52" s="25"/>
      <c r="F52" s="25"/>
      <c r="G52" s="25"/>
      <c r="H52" s="25"/>
    </row>
    <row r="53" spans="1:8" ht="16" x14ac:dyDescent="0.35">
      <c r="A53" s="298" t="s">
        <v>26</v>
      </c>
      <c r="B53" s="299" t="s">
        <v>89</v>
      </c>
      <c r="C53" s="298" t="s">
        <v>48</v>
      </c>
      <c r="D53" s="33"/>
      <c r="E53" s="25"/>
      <c r="F53" s="25"/>
      <c r="G53" s="25"/>
      <c r="H53" s="25"/>
    </row>
    <row r="54" spans="1:8" x14ac:dyDescent="0.35">
      <c r="A54" s="416" t="s">
        <v>90</v>
      </c>
      <c r="B54" s="416"/>
      <c r="C54" s="416"/>
      <c r="D54" s="416"/>
      <c r="E54" s="25"/>
      <c r="F54" s="25"/>
      <c r="G54" s="25"/>
      <c r="H54" s="25"/>
    </row>
    <row r="55" spans="1:8" ht="16" x14ac:dyDescent="0.35">
      <c r="A55" s="298" t="s">
        <v>29</v>
      </c>
      <c r="B55" s="299" t="s">
        <v>91</v>
      </c>
      <c r="C55" s="298" t="s">
        <v>7</v>
      </c>
      <c r="D55" s="33"/>
      <c r="E55" s="25"/>
      <c r="F55" s="25"/>
      <c r="G55" s="25"/>
      <c r="H55" s="25"/>
    </row>
    <row r="56" spans="1:8" ht="16" x14ac:dyDescent="0.35">
      <c r="A56" s="298" t="s">
        <v>31</v>
      </c>
      <c r="B56" s="299" t="s">
        <v>92</v>
      </c>
      <c r="C56" s="298" t="s">
        <v>33</v>
      </c>
      <c r="D56" s="33">
        <v>1</v>
      </c>
      <c r="E56" s="25"/>
      <c r="F56" s="25"/>
      <c r="G56" s="25"/>
      <c r="H56" s="25"/>
    </row>
    <row r="57" spans="1:8" x14ac:dyDescent="0.35">
      <c r="A57" s="416" t="s">
        <v>93</v>
      </c>
      <c r="B57" s="416"/>
      <c r="C57" s="416"/>
      <c r="D57" s="416"/>
      <c r="E57" s="25"/>
      <c r="F57" s="25"/>
      <c r="G57" s="25"/>
      <c r="H57" s="25"/>
    </row>
    <row r="58" spans="1:8" ht="16" x14ac:dyDescent="0.35">
      <c r="A58" s="298" t="s">
        <v>34</v>
      </c>
      <c r="B58" s="299" t="s">
        <v>94</v>
      </c>
      <c r="C58" s="298" t="s">
        <v>7</v>
      </c>
      <c r="D58" s="33">
        <v>1</v>
      </c>
      <c r="E58" s="25"/>
      <c r="F58" s="25"/>
      <c r="G58" s="25"/>
      <c r="H58" s="25"/>
    </row>
    <row r="59" spans="1:8" ht="16" x14ac:dyDescent="0.35">
      <c r="A59" s="298" t="s">
        <v>36</v>
      </c>
      <c r="B59" s="299" t="s">
        <v>95</v>
      </c>
      <c r="C59" s="298" t="s">
        <v>7</v>
      </c>
      <c r="D59" s="33" t="s">
        <v>96</v>
      </c>
      <c r="E59" s="25"/>
      <c r="F59" s="25"/>
      <c r="G59" s="25"/>
      <c r="H59" s="25"/>
    </row>
    <row r="60" spans="1:8" x14ac:dyDescent="0.35">
      <c r="A60" s="298" t="s">
        <v>38</v>
      </c>
      <c r="B60" s="299" t="s">
        <v>97</v>
      </c>
      <c r="C60" s="298" t="s">
        <v>7</v>
      </c>
      <c r="D60" s="300"/>
      <c r="E60" s="25"/>
      <c r="F60" s="25" t="s">
        <v>496</v>
      </c>
      <c r="G60" s="25"/>
      <c r="H60" s="25"/>
    </row>
    <row r="61" spans="1:8" x14ac:dyDescent="0.35">
      <c r="A61" s="315" t="s">
        <v>99</v>
      </c>
      <c r="B61" s="315"/>
      <c r="C61" s="315"/>
      <c r="D61" s="315"/>
      <c r="E61" s="25"/>
      <c r="F61" s="25"/>
      <c r="G61" s="25"/>
      <c r="H61" s="25"/>
    </row>
    <row r="62" spans="1:8" ht="16" x14ac:dyDescent="0.35">
      <c r="A62" s="291" t="s">
        <v>40</v>
      </c>
      <c r="B62" s="292" t="s">
        <v>100</v>
      </c>
      <c r="C62" s="291" t="s">
        <v>7</v>
      </c>
      <c r="D62" s="104" t="s">
        <v>101</v>
      </c>
      <c r="E62" s="25"/>
      <c r="F62" s="25"/>
      <c r="G62" s="25"/>
      <c r="H62" s="25"/>
    </row>
    <row r="63" spans="1:8" ht="16" x14ac:dyDescent="0.35">
      <c r="A63" s="291" t="s">
        <v>42</v>
      </c>
      <c r="B63" s="292" t="s">
        <v>102</v>
      </c>
      <c r="C63" s="291" t="s">
        <v>7</v>
      </c>
      <c r="D63" s="104" t="s">
        <v>103</v>
      </c>
      <c r="E63" s="25"/>
      <c r="F63" s="25"/>
      <c r="G63" s="25"/>
      <c r="H63" s="25"/>
    </row>
    <row r="64" spans="1:8" ht="16" x14ac:dyDescent="0.35">
      <c r="A64" s="291" t="s">
        <v>44</v>
      </c>
      <c r="B64" s="292" t="s">
        <v>104</v>
      </c>
      <c r="C64" s="291" t="s">
        <v>7</v>
      </c>
      <c r="D64" s="104" t="s">
        <v>506</v>
      </c>
      <c r="E64" s="25"/>
      <c r="F64" s="25"/>
      <c r="G64" s="25"/>
      <c r="H64" s="25"/>
    </row>
    <row r="65" spans="1:8" ht="16" x14ac:dyDescent="0.35">
      <c r="A65" s="291" t="s">
        <v>46</v>
      </c>
      <c r="B65" s="292" t="s">
        <v>106</v>
      </c>
      <c r="C65" s="291" t="s">
        <v>7</v>
      </c>
      <c r="D65" s="104" t="s">
        <v>107</v>
      </c>
      <c r="E65" s="25"/>
      <c r="F65" s="25"/>
      <c r="G65" s="25"/>
      <c r="H65" s="25"/>
    </row>
    <row r="66" spans="1:8" x14ac:dyDescent="0.35">
      <c r="A66" s="291" t="s">
        <v>49</v>
      </c>
      <c r="B66" s="292" t="s">
        <v>108</v>
      </c>
      <c r="C66" s="291" t="s">
        <v>7</v>
      </c>
      <c r="D66" s="296">
        <v>2013</v>
      </c>
      <c r="E66" s="25"/>
      <c r="F66" s="25"/>
      <c r="G66" s="25"/>
      <c r="H66" s="25"/>
    </row>
    <row r="67" spans="1:8" x14ac:dyDescent="0.35">
      <c r="A67" s="291" t="s">
        <v>51</v>
      </c>
      <c r="B67" s="292" t="s">
        <v>109</v>
      </c>
      <c r="C67" s="291" t="s">
        <v>7</v>
      </c>
      <c r="D67" s="105">
        <v>2024</v>
      </c>
      <c r="E67" s="25"/>
      <c r="F67" s="25"/>
      <c r="G67" s="25"/>
      <c r="H67" s="25"/>
    </row>
    <row r="68" spans="1:8" x14ac:dyDescent="0.35">
      <c r="A68" s="315" t="s">
        <v>99</v>
      </c>
      <c r="B68" s="315"/>
      <c r="C68" s="315"/>
      <c r="D68" s="315"/>
      <c r="E68" s="25"/>
      <c r="F68" s="25"/>
      <c r="G68" s="25"/>
      <c r="H68" s="25"/>
    </row>
    <row r="69" spans="1:8" ht="16" x14ac:dyDescent="0.35">
      <c r="A69" s="291" t="s">
        <v>53</v>
      </c>
      <c r="B69" s="292" t="s">
        <v>110</v>
      </c>
      <c r="C69" s="291" t="s">
        <v>7</v>
      </c>
      <c r="D69" s="104" t="s">
        <v>111</v>
      </c>
      <c r="E69" s="25"/>
      <c r="F69" s="25"/>
      <c r="G69" s="25"/>
      <c r="H69" s="25"/>
    </row>
    <row r="70" spans="1:8" ht="16" x14ac:dyDescent="0.35">
      <c r="A70" s="291" t="s">
        <v>55</v>
      </c>
      <c r="B70" s="292" t="s">
        <v>112</v>
      </c>
      <c r="C70" s="291" t="s">
        <v>7</v>
      </c>
      <c r="D70" s="104" t="s">
        <v>113</v>
      </c>
      <c r="E70" s="25"/>
      <c r="F70" s="25"/>
      <c r="G70" s="25"/>
      <c r="H70" s="25"/>
    </row>
    <row r="71" spans="1:8" ht="16" x14ac:dyDescent="0.35">
      <c r="A71" s="291" t="s">
        <v>57</v>
      </c>
      <c r="B71" s="292" t="s">
        <v>104</v>
      </c>
      <c r="C71" s="291" t="s">
        <v>7</v>
      </c>
      <c r="D71" s="104" t="s">
        <v>507</v>
      </c>
      <c r="E71" s="25"/>
      <c r="F71" s="25"/>
      <c r="G71" s="25"/>
      <c r="H71" s="25"/>
    </row>
    <row r="72" spans="1:8" ht="16" x14ac:dyDescent="0.35">
      <c r="A72" s="291" t="s">
        <v>59</v>
      </c>
      <c r="B72" s="292" t="s">
        <v>106</v>
      </c>
      <c r="C72" s="291" t="s">
        <v>7</v>
      </c>
      <c r="D72" s="104" t="s">
        <v>115</v>
      </c>
      <c r="E72" s="25"/>
      <c r="F72" s="25"/>
      <c r="G72" s="25"/>
      <c r="H72" s="25"/>
    </row>
    <row r="73" spans="1:8" x14ac:dyDescent="0.35">
      <c r="A73" s="291" t="s">
        <v>61</v>
      </c>
      <c r="B73" s="292" t="s">
        <v>108</v>
      </c>
      <c r="C73" s="291" t="s">
        <v>7</v>
      </c>
      <c r="D73" s="296">
        <v>2012</v>
      </c>
      <c r="E73" s="25"/>
      <c r="F73" s="25"/>
      <c r="G73" s="25"/>
      <c r="H73" s="25"/>
    </row>
    <row r="74" spans="1:8" x14ac:dyDescent="0.35">
      <c r="A74" s="291" t="s">
        <v>65</v>
      </c>
      <c r="B74" s="292" t="s">
        <v>109</v>
      </c>
      <c r="C74" s="291" t="s">
        <v>7</v>
      </c>
      <c r="D74" s="296">
        <v>2025</v>
      </c>
      <c r="E74" s="25"/>
      <c r="F74" s="25"/>
      <c r="G74" s="25"/>
      <c r="H74" s="25"/>
    </row>
    <row r="75" spans="1:8" x14ac:dyDescent="0.35">
      <c r="A75" s="315" t="s">
        <v>124</v>
      </c>
      <c r="B75" s="315"/>
      <c r="C75" s="315"/>
      <c r="D75" s="315"/>
      <c r="E75" s="25"/>
      <c r="F75" s="25"/>
      <c r="G75" s="25"/>
      <c r="H75" s="25"/>
    </row>
    <row r="76" spans="1:8" ht="16" x14ac:dyDescent="0.35">
      <c r="A76" s="291" t="s">
        <v>122</v>
      </c>
      <c r="B76" s="292" t="s">
        <v>125</v>
      </c>
      <c r="C76" s="291" t="s">
        <v>7</v>
      </c>
      <c r="D76" s="104" t="s">
        <v>126</v>
      </c>
      <c r="E76" s="25"/>
      <c r="F76" s="25"/>
      <c r="G76" s="25"/>
      <c r="H76" s="25"/>
    </row>
    <row r="77" spans="1:8" x14ac:dyDescent="0.35">
      <c r="A77" s="315" t="s">
        <v>127</v>
      </c>
      <c r="B77" s="315"/>
      <c r="C77" s="315"/>
      <c r="D77" s="315"/>
      <c r="E77" s="25"/>
      <c r="F77" s="25"/>
      <c r="G77" s="25"/>
      <c r="H77" s="25"/>
    </row>
    <row r="78" spans="1:8" ht="16" x14ac:dyDescent="0.35">
      <c r="A78" s="291" t="s">
        <v>128</v>
      </c>
      <c r="B78" s="292" t="s">
        <v>129</v>
      </c>
      <c r="C78" s="291" t="s">
        <v>7</v>
      </c>
      <c r="D78" s="104"/>
      <c r="E78" s="25"/>
      <c r="F78" s="25"/>
      <c r="G78" s="25"/>
      <c r="H78" s="25"/>
    </row>
    <row r="79" spans="1:8" x14ac:dyDescent="0.35">
      <c r="A79" s="315" t="s">
        <v>131</v>
      </c>
      <c r="B79" s="315"/>
      <c r="C79" s="315"/>
      <c r="D79" s="315"/>
      <c r="E79" s="25"/>
      <c r="F79" s="25"/>
      <c r="G79" s="25"/>
      <c r="H79" s="25"/>
    </row>
    <row r="80" spans="1:8" ht="16" x14ac:dyDescent="0.35">
      <c r="A80" s="291" t="s">
        <v>132</v>
      </c>
      <c r="B80" s="292" t="s">
        <v>133</v>
      </c>
      <c r="C80" s="291" t="s">
        <v>7</v>
      </c>
      <c r="D80" s="104" t="s">
        <v>134</v>
      </c>
      <c r="E80" s="25"/>
      <c r="F80" s="25"/>
      <c r="G80" s="25"/>
      <c r="H80" s="25"/>
    </row>
    <row r="81" spans="1:11" x14ac:dyDescent="0.35">
      <c r="A81" s="315" t="s">
        <v>135</v>
      </c>
      <c r="B81" s="315"/>
      <c r="C81" s="315"/>
      <c r="D81" s="315"/>
      <c r="E81" s="25"/>
      <c r="F81" s="25"/>
      <c r="G81" s="25"/>
      <c r="H81" s="25"/>
    </row>
    <row r="82" spans="1:11" ht="16" x14ac:dyDescent="0.35">
      <c r="A82" s="291" t="s">
        <v>136</v>
      </c>
      <c r="B82" s="292" t="s">
        <v>137</v>
      </c>
      <c r="C82" s="291" t="s">
        <v>7</v>
      </c>
      <c r="D82" s="104" t="s">
        <v>138</v>
      </c>
      <c r="E82" s="25"/>
      <c r="F82" s="25"/>
      <c r="G82" s="25"/>
      <c r="H82" s="25"/>
    </row>
    <row r="83" spans="1:11" x14ac:dyDescent="0.35">
      <c r="A83" s="315" t="s">
        <v>139</v>
      </c>
      <c r="B83" s="315"/>
      <c r="C83" s="315"/>
      <c r="D83" s="315"/>
      <c r="E83" s="25"/>
      <c r="F83" s="25"/>
      <c r="G83" s="25"/>
      <c r="H83" s="25"/>
    </row>
    <row r="84" spans="1:11" x14ac:dyDescent="0.35">
      <c r="A84" s="106"/>
      <c r="B84" s="91"/>
      <c r="C84" s="91"/>
      <c r="D84" s="91"/>
      <c r="E84" s="25"/>
      <c r="F84" s="25"/>
      <c r="G84" s="25"/>
      <c r="H84" s="25"/>
    </row>
    <row r="85" spans="1:11" ht="43.5" customHeight="1" x14ac:dyDescent="0.35">
      <c r="A85" s="441" t="s">
        <v>508</v>
      </c>
      <c r="B85" s="441"/>
      <c r="C85" s="441"/>
      <c r="D85" s="441"/>
      <c r="E85" s="441"/>
      <c r="F85" s="441"/>
      <c r="G85" s="441"/>
      <c r="H85" s="441"/>
    </row>
    <row r="86" spans="1:11" s="159" customFormat="1" ht="39" customHeight="1" x14ac:dyDescent="0.35">
      <c r="A86" s="156" t="s">
        <v>0</v>
      </c>
      <c r="B86" s="442" t="s">
        <v>391</v>
      </c>
      <c r="C86" s="442" t="s">
        <v>106</v>
      </c>
      <c r="D86" s="157" t="s">
        <v>392</v>
      </c>
      <c r="E86" s="158" t="s">
        <v>393</v>
      </c>
      <c r="F86" s="158"/>
      <c r="G86" s="158" t="s">
        <v>394</v>
      </c>
      <c r="H86" s="158"/>
    </row>
    <row r="87" spans="1:11" s="159" customFormat="1" ht="57.5" x14ac:dyDescent="0.35">
      <c r="A87" s="156"/>
      <c r="B87" s="442"/>
      <c r="C87" s="442"/>
      <c r="D87" s="157" t="s">
        <v>395</v>
      </c>
      <c r="E87" s="157" t="s">
        <v>396</v>
      </c>
      <c r="F87" s="157" t="s">
        <v>397</v>
      </c>
      <c r="G87" s="157" t="s">
        <v>396</v>
      </c>
      <c r="H87" s="157" t="s">
        <v>398</v>
      </c>
    </row>
    <row r="88" spans="1:11" s="164" customFormat="1" ht="28.5" customHeight="1" x14ac:dyDescent="0.35">
      <c r="A88" s="156">
        <v>1</v>
      </c>
      <c r="B88" s="160" t="s">
        <v>399</v>
      </c>
      <c r="C88" s="161" t="s">
        <v>400</v>
      </c>
      <c r="D88" s="162">
        <f>SUM(D89:D94)</f>
        <v>0.42000000000000004</v>
      </c>
      <c r="E88" s="163">
        <v>2310.1999999999998</v>
      </c>
      <c r="F88" s="163">
        <f>D88*E88</f>
        <v>970.28399999999999</v>
      </c>
      <c r="G88" s="163">
        <f>E88</f>
        <v>2310.1999999999998</v>
      </c>
      <c r="H88" s="163">
        <f>F88*12</f>
        <v>11643.407999999999</v>
      </c>
      <c r="K88" s="197">
        <f>H88</f>
        <v>11643.407999999999</v>
      </c>
    </row>
    <row r="89" spans="1:11" s="159" customFormat="1" ht="22" customHeight="1" x14ac:dyDescent="0.35">
      <c r="A89" s="157"/>
      <c r="B89" s="165" t="s">
        <v>401</v>
      </c>
      <c r="C89" s="158" t="s">
        <v>402</v>
      </c>
      <c r="D89" s="166">
        <v>0.02</v>
      </c>
      <c r="E89" s="167">
        <f>E88</f>
        <v>2310.1999999999998</v>
      </c>
      <c r="F89" s="167">
        <f>D89*E89</f>
        <v>46.204000000000001</v>
      </c>
      <c r="G89" s="167">
        <f>E89</f>
        <v>2310.1999999999998</v>
      </c>
      <c r="H89" s="167">
        <f>F89*12</f>
        <v>554.44799999999998</v>
      </c>
    </row>
    <row r="90" spans="1:11" s="159" customFormat="1" ht="25.5" customHeight="1" x14ac:dyDescent="0.35">
      <c r="A90" s="157"/>
      <c r="B90" s="165" t="s">
        <v>403</v>
      </c>
      <c r="C90" s="158" t="s">
        <v>402</v>
      </c>
      <c r="D90" s="168">
        <f>0.02</f>
        <v>0.02</v>
      </c>
      <c r="E90" s="167">
        <f>E89</f>
        <v>2310.1999999999998</v>
      </c>
      <c r="F90" s="167">
        <f t="shared" ref="F90:F116" si="0">D90*E90</f>
        <v>46.204000000000001</v>
      </c>
      <c r="G90" s="167">
        <f t="shared" ref="G90:G116" si="1">E90</f>
        <v>2310.1999999999998</v>
      </c>
      <c r="H90" s="167">
        <f t="shared" ref="H90:H116" si="2">F90*12</f>
        <v>554.44799999999998</v>
      </c>
    </row>
    <row r="91" spans="1:11" s="159" customFormat="1" ht="22" customHeight="1" x14ac:dyDescent="0.35">
      <c r="A91" s="157"/>
      <c r="B91" s="165" t="s">
        <v>404</v>
      </c>
      <c r="C91" s="158" t="s">
        <v>402</v>
      </c>
      <c r="D91" s="168">
        <v>0.05</v>
      </c>
      <c r="E91" s="167">
        <f t="shared" ref="E91:E94" si="3">E90</f>
        <v>2310.1999999999998</v>
      </c>
      <c r="F91" s="167">
        <f t="shared" si="0"/>
        <v>115.50999999999999</v>
      </c>
      <c r="G91" s="167">
        <f t="shared" si="1"/>
        <v>2310.1999999999998</v>
      </c>
      <c r="H91" s="167">
        <f t="shared" si="2"/>
        <v>1386.12</v>
      </c>
    </row>
    <row r="92" spans="1:11" s="159" customFormat="1" ht="22" customHeight="1" x14ac:dyDescent="0.35">
      <c r="A92" s="157"/>
      <c r="B92" s="165" t="s">
        <v>405</v>
      </c>
      <c r="C92" s="158" t="s">
        <v>402</v>
      </c>
      <c r="D92" s="168">
        <v>0.3</v>
      </c>
      <c r="E92" s="167">
        <f t="shared" si="3"/>
        <v>2310.1999999999998</v>
      </c>
      <c r="F92" s="167">
        <f t="shared" si="0"/>
        <v>693.06</v>
      </c>
      <c r="G92" s="167">
        <f t="shared" si="1"/>
        <v>2310.1999999999998</v>
      </c>
      <c r="H92" s="167">
        <f t="shared" si="2"/>
        <v>8316.7199999999993</v>
      </c>
    </row>
    <row r="93" spans="1:11" s="159" customFormat="1" ht="22" customHeight="1" x14ac:dyDescent="0.35">
      <c r="A93" s="157"/>
      <c r="B93" s="165" t="s">
        <v>406</v>
      </c>
      <c r="C93" s="158" t="s">
        <v>402</v>
      </c>
      <c r="D93" s="168">
        <v>0.02</v>
      </c>
      <c r="E93" s="167">
        <f t="shared" si="3"/>
        <v>2310.1999999999998</v>
      </c>
      <c r="F93" s="167">
        <f t="shared" si="0"/>
        <v>46.204000000000001</v>
      </c>
      <c r="G93" s="167">
        <f t="shared" si="1"/>
        <v>2310.1999999999998</v>
      </c>
      <c r="H93" s="167">
        <f t="shared" si="2"/>
        <v>554.44799999999998</v>
      </c>
    </row>
    <row r="94" spans="1:11" s="159" customFormat="1" ht="35.5" customHeight="1" x14ac:dyDescent="0.35">
      <c r="A94" s="157"/>
      <c r="B94" s="165" t="s">
        <v>407</v>
      </c>
      <c r="C94" s="158" t="s">
        <v>402</v>
      </c>
      <c r="D94" s="168">
        <v>0.01</v>
      </c>
      <c r="E94" s="167">
        <f t="shared" si="3"/>
        <v>2310.1999999999998</v>
      </c>
      <c r="F94" s="167">
        <f t="shared" si="0"/>
        <v>23.102</v>
      </c>
      <c r="G94" s="167">
        <f t="shared" si="1"/>
        <v>2310.1999999999998</v>
      </c>
      <c r="H94" s="167">
        <f t="shared" si="2"/>
        <v>277.22399999999999</v>
      </c>
    </row>
    <row r="95" spans="1:11" s="164" customFormat="1" ht="36" customHeight="1" x14ac:dyDescent="0.35">
      <c r="A95" s="156" t="s">
        <v>408</v>
      </c>
      <c r="B95" s="160" t="s">
        <v>262</v>
      </c>
      <c r="C95" s="161" t="s">
        <v>402</v>
      </c>
      <c r="D95" s="169">
        <f>SUM(D96:D101)</f>
        <v>7.3</v>
      </c>
      <c r="E95" s="163">
        <f>E88</f>
        <v>2310.1999999999998</v>
      </c>
      <c r="F95" s="163">
        <f t="shared" si="0"/>
        <v>16864.46</v>
      </c>
      <c r="G95" s="163">
        <f t="shared" si="1"/>
        <v>2310.1999999999998</v>
      </c>
      <c r="H95" s="163">
        <f t="shared" si="2"/>
        <v>202373.52</v>
      </c>
      <c r="K95" s="197">
        <f>+K102+K111</f>
        <v>237858.19199999998</v>
      </c>
    </row>
    <row r="96" spans="1:11" s="159" customFormat="1" ht="22" customHeight="1" x14ac:dyDescent="0.35">
      <c r="A96" s="157"/>
      <c r="B96" s="165" t="s">
        <v>409</v>
      </c>
      <c r="C96" s="158" t="s">
        <v>402</v>
      </c>
      <c r="D96" s="83">
        <v>0.25</v>
      </c>
      <c r="E96" s="167">
        <f>E94</f>
        <v>2310.1999999999998</v>
      </c>
      <c r="F96" s="167">
        <f t="shared" si="0"/>
        <v>577.54999999999995</v>
      </c>
      <c r="G96" s="167">
        <f t="shared" si="1"/>
        <v>2310.1999999999998</v>
      </c>
      <c r="H96" s="167">
        <f t="shared" si="2"/>
        <v>6930.5999999999995</v>
      </c>
    </row>
    <row r="97" spans="1:13" s="159" customFormat="1" ht="22" customHeight="1" x14ac:dyDescent="0.35">
      <c r="A97" s="157"/>
      <c r="B97" s="165" t="s">
        <v>410</v>
      </c>
      <c r="C97" s="158" t="s">
        <v>402</v>
      </c>
      <c r="D97" s="168">
        <v>4.5599999999999996</v>
      </c>
      <c r="E97" s="167">
        <f>E96</f>
        <v>2310.1999999999998</v>
      </c>
      <c r="F97" s="167">
        <f t="shared" si="0"/>
        <v>10534.511999999999</v>
      </c>
      <c r="G97" s="167">
        <f t="shared" si="1"/>
        <v>2310.1999999999998</v>
      </c>
      <c r="H97" s="167">
        <f t="shared" si="2"/>
        <v>126414.14399999999</v>
      </c>
    </row>
    <row r="98" spans="1:13" s="159" customFormat="1" ht="36" customHeight="1" x14ac:dyDescent="0.35">
      <c r="A98" s="157"/>
      <c r="B98" s="165" t="s">
        <v>411</v>
      </c>
      <c r="C98" s="158" t="s">
        <v>402</v>
      </c>
      <c r="D98" s="168">
        <v>0.16</v>
      </c>
      <c r="E98" s="167">
        <f t="shared" ref="E98" si="4">E97</f>
        <v>2310.1999999999998</v>
      </c>
      <c r="F98" s="167">
        <f t="shared" si="0"/>
        <v>369.63200000000001</v>
      </c>
      <c r="G98" s="167">
        <f t="shared" si="1"/>
        <v>2310.1999999999998</v>
      </c>
      <c r="H98" s="167">
        <f t="shared" si="2"/>
        <v>4435.5839999999998</v>
      </c>
    </row>
    <row r="99" spans="1:13" s="159" customFormat="1" ht="34" customHeight="1" x14ac:dyDescent="0.35">
      <c r="A99" s="157"/>
      <c r="B99" s="165" t="s">
        <v>413</v>
      </c>
      <c r="C99" s="158" t="s">
        <v>402</v>
      </c>
      <c r="D99" s="168">
        <v>0.9</v>
      </c>
      <c r="E99" s="167">
        <f>E98</f>
        <v>2310.1999999999998</v>
      </c>
      <c r="F99" s="167">
        <f t="shared" si="0"/>
        <v>2079.1799999999998</v>
      </c>
      <c r="G99" s="167">
        <f t="shared" si="1"/>
        <v>2310.1999999999998</v>
      </c>
      <c r="H99" s="167">
        <f t="shared" si="2"/>
        <v>24950.159999999996</v>
      </c>
    </row>
    <row r="100" spans="1:13" s="159" customFormat="1" ht="11.5" customHeight="1" x14ac:dyDescent="0.35">
      <c r="A100" s="157"/>
      <c r="B100" s="165" t="str">
        <f>'[27]Перечень работ и услуг'!$A$16</f>
        <v xml:space="preserve"> - Обслуживание мусоропроводов</v>
      </c>
      <c r="C100" s="158" t="s">
        <v>402</v>
      </c>
      <c r="D100" s="168">
        <v>1.37</v>
      </c>
      <c r="E100" s="167">
        <f>E99</f>
        <v>2310.1999999999998</v>
      </c>
      <c r="F100" s="167">
        <f t="shared" si="0"/>
        <v>3164.9740000000002</v>
      </c>
      <c r="G100" s="167">
        <f t="shared" si="1"/>
        <v>2310.1999999999998</v>
      </c>
      <c r="H100" s="167">
        <f t="shared" si="2"/>
        <v>37979.688000000002</v>
      </c>
    </row>
    <row r="101" spans="1:13" s="159" customFormat="1" ht="38.5" customHeight="1" x14ac:dyDescent="0.35">
      <c r="A101" s="157"/>
      <c r="B101" s="165" t="s">
        <v>414</v>
      </c>
      <c r="C101" s="158" t="s">
        <v>402</v>
      </c>
      <c r="D101" s="168">
        <v>0.06</v>
      </c>
      <c r="E101" s="167">
        <f>E99</f>
        <v>2310.1999999999998</v>
      </c>
      <c r="F101" s="167">
        <f t="shared" si="0"/>
        <v>138.61199999999999</v>
      </c>
      <c r="G101" s="167">
        <f t="shared" si="1"/>
        <v>2310.1999999999998</v>
      </c>
      <c r="H101" s="167">
        <f t="shared" si="2"/>
        <v>1663.3440000000001</v>
      </c>
    </row>
    <row r="102" spans="1:13" s="164" customFormat="1" ht="22" customHeight="1" x14ac:dyDescent="0.35">
      <c r="A102" s="156"/>
      <c r="B102" s="160" t="s">
        <v>415</v>
      </c>
      <c r="C102" s="161" t="s">
        <v>402</v>
      </c>
      <c r="D102" s="169">
        <f>SUM(D103:D110)</f>
        <v>6.0399999999999991</v>
      </c>
      <c r="E102" s="163">
        <f>E95</f>
        <v>2310.1999999999998</v>
      </c>
      <c r="F102" s="163">
        <f t="shared" si="0"/>
        <v>13953.607999999997</v>
      </c>
      <c r="G102" s="163">
        <f t="shared" si="1"/>
        <v>2310.1999999999998</v>
      </c>
      <c r="H102" s="163">
        <f t="shared" si="2"/>
        <v>167443.29599999997</v>
      </c>
      <c r="K102" s="197">
        <f>H102</f>
        <v>167443.29599999997</v>
      </c>
    </row>
    <row r="103" spans="1:13" s="159" customFormat="1" ht="22" customHeight="1" x14ac:dyDescent="0.35">
      <c r="A103" s="156" t="s">
        <v>450</v>
      </c>
      <c r="B103" s="165" t="s">
        <v>509</v>
      </c>
      <c r="C103" s="161" t="s">
        <v>402</v>
      </c>
      <c r="D103" s="166">
        <f>1.2-0.34</f>
        <v>0.85999999999999988</v>
      </c>
      <c r="E103" s="167">
        <f>E101</f>
        <v>2310.1999999999998</v>
      </c>
      <c r="F103" s="167">
        <f t="shared" si="0"/>
        <v>1986.7719999999995</v>
      </c>
      <c r="G103" s="167">
        <f t="shared" si="1"/>
        <v>2310.1999999999998</v>
      </c>
      <c r="H103" s="167">
        <f t="shared" si="2"/>
        <v>23841.263999999996</v>
      </c>
    </row>
    <row r="104" spans="1:13" s="159" customFormat="1" ht="22" customHeight="1" x14ac:dyDescent="0.35">
      <c r="A104" s="157"/>
      <c r="B104" s="108" t="s">
        <v>418</v>
      </c>
      <c r="C104" s="158" t="s">
        <v>402</v>
      </c>
      <c r="D104" s="170">
        <v>2.2000000000000002</v>
      </c>
      <c r="E104" s="167">
        <f t="shared" ref="E104" si="5">E103</f>
        <v>2310.1999999999998</v>
      </c>
      <c r="F104" s="167">
        <f t="shared" si="0"/>
        <v>5082.4399999999996</v>
      </c>
      <c r="G104" s="167">
        <f t="shared" si="1"/>
        <v>2310.1999999999998</v>
      </c>
      <c r="H104" s="167">
        <f t="shared" si="2"/>
        <v>60989.279999999999</v>
      </c>
    </row>
    <row r="105" spans="1:13" s="159" customFormat="1" ht="38.5" customHeight="1" x14ac:dyDescent="0.35">
      <c r="A105" s="157"/>
      <c r="B105" s="165" t="s">
        <v>419</v>
      </c>
      <c r="C105" s="158" t="s">
        <v>402</v>
      </c>
      <c r="D105" s="166">
        <v>2.2000000000000002</v>
      </c>
      <c r="E105" s="167">
        <f>E103</f>
        <v>2310.1999999999998</v>
      </c>
      <c r="F105" s="167">
        <f t="shared" si="0"/>
        <v>5082.4399999999996</v>
      </c>
      <c r="G105" s="167">
        <f t="shared" si="1"/>
        <v>2310.1999999999998</v>
      </c>
      <c r="H105" s="167">
        <f t="shared" si="2"/>
        <v>60989.279999999999</v>
      </c>
    </row>
    <row r="106" spans="1:13" s="159" customFormat="1" ht="22" customHeight="1" x14ac:dyDescent="0.35">
      <c r="A106" s="157"/>
      <c r="B106" s="165" t="s">
        <v>420</v>
      </c>
      <c r="C106" s="158" t="s">
        <v>402</v>
      </c>
      <c r="D106" s="168">
        <v>0.01</v>
      </c>
      <c r="E106" s="167">
        <f t="shared" ref="E106:E111" si="6">E105</f>
        <v>2310.1999999999998</v>
      </c>
      <c r="F106" s="167">
        <f t="shared" si="0"/>
        <v>23.102</v>
      </c>
      <c r="G106" s="167">
        <f t="shared" si="1"/>
        <v>2310.1999999999998</v>
      </c>
      <c r="H106" s="167">
        <f t="shared" si="2"/>
        <v>277.22399999999999</v>
      </c>
    </row>
    <row r="107" spans="1:13" s="159" customFormat="1" ht="22" customHeight="1" x14ac:dyDescent="0.35">
      <c r="A107" s="157"/>
      <c r="B107" s="165" t="s">
        <v>421</v>
      </c>
      <c r="C107" s="158"/>
      <c r="D107" s="168">
        <v>0.05</v>
      </c>
      <c r="E107" s="167">
        <f t="shared" si="6"/>
        <v>2310.1999999999998</v>
      </c>
      <c r="F107" s="167">
        <f t="shared" si="0"/>
        <v>115.50999999999999</v>
      </c>
      <c r="G107" s="167">
        <f t="shared" si="1"/>
        <v>2310.1999999999998</v>
      </c>
      <c r="H107" s="167">
        <f t="shared" si="2"/>
        <v>1386.12</v>
      </c>
    </row>
    <row r="108" spans="1:13" s="159" customFormat="1" ht="22" customHeight="1" x14ac:dyDescent="0.35">
      <c r="A108" s="157"/>
      <c r="B108" s="165" t="s">
        <v>422</v>
      </c>
      <c r="C108" s="158" t="s">
        <v>402</v>
      </c>
      <c r="D108" s="166">
        <v>0.05</v>
      </c>
      <c r="E108" s="167">
        <f t="shared" si="6"/>
        <v>2310.1999999999998</v>
      </c>
      <c r="F108" s="167">
        <f t="shared" si="0"/>
        <v>115.50999999999999</v>
      </c>
      <c r="G108" s="167">
        <f t="shared" si="1"/>
        <v>2310.1999999999998</v>
      </c>
      <c r="H108" s="167">
        <f t="shared" si="2"/>
        <v>1386.12</v>
      </c>
    </row>
    <row r="109" spans="1:13" s="159" customFormat="1" ht="15.5" customHeight="1" x14ac:dyDescent="0.35">
      <c r="A109" s="156" t="s">
        <v>449</v>
      </c>
      <c r="B109" s="165" t="s">
        <v>423</v>
      </c>
      <c r="C109" s="161" t="s">
        <v>402</v>
      </c>
      <c r="D109" s="166">
        <v>0.66</v>
      </c>
      <c r="E109" s="167">
        <f t="shared" si="6"/>
        <v>2310.1999999999998</v>
      </c>
      <c r="F109" s="167">
        <f t="shared" si="0"/>
        <v>1524.732</v>
      </c>
      <c r="G109" s="167">
        <f t="shared" si="1"/>
        <v>2310.1999999999998</v>
      </c>
      <c r="H109" s="167">
        <f t="shared" si="2"/>
        <v>18296.784</v>
      </c>
    </row>
    <row r="110" spans="1:13" s="159" customFormat="1" ht="51" customHeight="1" x14ac:dyDescent="0.35">
      <c r="A110" s="171"/>
      <c r="B110" s="165" t="s">
        <v>305</v>
      </c>
      <c r="C110" s="161" t="s">
        <v>402</v>
      </c>
      <c r="D110" s="166">
        <v>0.01</v>
      </c>
      <c r="E110" s="167">
        <f t="shared" si="6"/>
        <v>2310.1999999999998</v>
      </c>
      <c r="F110" s="167">
        <f t="shared" si="0"/>
        <v>23.102</v>
      </c>
      <c r="G110" s="167">
        <f t="shared" si="1"/>
        <v>2310.1999999999998</v>
      </c>
      <c r="H110" s="167">
        <f t="shared" si="2"/>
        <v>277.22399999999999</v>
      </c>
    </row>
    <row r="111" spans="1:13" s="164" customFormat="1" ht="48" x14ac:dyDescent="0.35">
      <c r="A111" s="172"/>
      <c r="B111" s="160" t="s">
        <v>424</v>
      </c>
      <c r="C111" s="161" t="s">
        <v>402</v>
      </c>
      <c r="D111" s="162">
        <f>D112+D113</f>
        <v>2.54</v>
      </c>
      <c r="E111" s="163">
        <f t="shared" si="6"/>
        <v>2310.1999999999998</v>
      </c>
      <c r="F111" s="163">
        <f t="shared" si="0"/>
        <v>5867.9079999999994</v>
      </c>
      <c r="G111" s="163">
        <f t="shared" si="1"/>
        <v>2310.1999999999998</v>
      </c>
      <c r="H111" s="163">
        <f t="shared" si="2"/>
        <v>70414.895999999993</v>
      </c>
      <c r="K111" s="197">
        <f>H111</f>
        <v>70414.895999999993</v>
      </c>
      <c r="M111" s="197">
        <f>K111+K102+K95</f>
        <v>475716.38399999996</v>
      </c>
    </row>
    <row r="112" spans="1:13" s="159" customFormat="1" ht="108" x14ac:dyDescent="0.35">
      <c r="A112" s="171"/>
      <c r="B112" s="165" t="s">
        <v>425</v>
      </c>
      <c r="C112" s="161" t="s">
        <v>402</v>
      </c>
      <c r="D112" s="166">
        <v>1.6</v>
      </c>
      <c r="E112" s="167">
        <f>E110</f>
        <v>2310.1999999999998</v>
      </c>
      <c r="F112" s="167">
        <f t="shared" si="0"/>
        <v>3696.3199999999997</v>
      </c>
      <c r="G112" s="167">
        <f t="shared" si="1"/>
        <v>2310.1999999999998</v>
      </c>
      <c r="H112" s="167">
        <f t="shared" si="2"/>
        <v>44355.839999999997</v>
      </c>
    </row>
    <row r="113" spans="1:14" s="159" customFormat="1" ht="72" customHeight="1" x14ac:dyDescent="0.35">
      <c r="A113" s="171"/>
      <c r="B113" s="165" t="s">
        <v>426</v>
      </c>
      <c r="C113" s="161" t="s">
        <v>402</v>
      </c>
      <c r="D113" s="166">
        <f>2.54-D112</f>
        <v>0.94</v>
      </c>
      <c r="E113" s="167">
        <f>E112</f>
        <v>2310.1999999999998</v>
      </c>
      <c r="F113" s="167">
        <f t="shared" si="0"/>
        <v>2171.5879999999997</v>
      </c>
      <c r="G113" s="167">
        <f t="shared" si="1"/>
        <v>2310.1999999999998</v>
      </c>
      <c r="H113" s="167">
        <f t="shared" si="2"/>
        <v>26059.055999999997</v>
      </c>
    </row>
    <row r="114" spans="1:14" s="159" customFormat="1" ht="24" x14ac:dyDescent="0.35">
      <c r="A114" s="171"/>
      <c r="B114" s="160" t="s">
        <v>265</v>
      </c>
      <c r="C114" s="161" t="s">
        <v>402</v>
      </c>
      <c r="D114" s="162">
        <v>6.2</v>
      </c>
      <c r="E114" s="163">
        <f>E113</f>
        <v>2310.1999999999998</v>
      </c>
      <c r="F114" s="163">
        <f t="shared" si="0"/>
        <v>14323.24</v>
      </c>
      <c r="G114" s="163">
        <f t="shared" si="1"/>
        <v>2310.1999999999998</v>
      </c>
      <c r="H114" s="163">
        <f t="shared" si="2"/>
        <v>171878.88</v>
      </c>
    </row>
    <row r="115" spans="1:14" s="159" customFormat="1" x14ac:dyDescent="0.35">
      <c r="A115" s="171"/>
      <c r="B115" s="160" t="s">
        <v>427</v>
      </c>
      <c r="C115" s="161" t="s">
        <v>402</v>
      </c>
      <c r="D115" s="162">
        <v>9</v>
      </c>
      <c r="E115" s="163">
        <f>E114</f>
        <v>2310.1999999999998</v>
      </c>
      <c r="F115" s="163">
        <f t="shared" si="0"/>
        <v>20791.8</v>
      </c>
      <c r="G115" s="163">
        <f t="shared" si="1"/>
        <v>2310.1999999999998</v>
      </c>
      <c r="H115" s="163">
        <f t="shared" si="2"/>
        <v>249501.59999999998</v>
      </c>
    </row>
    <row r="116" spans="1:14" s="159" customFormat="1" x14ac:dyDescent="0.35">
      <c r="A116" s="171"/>
      <c r="B116" s="160" t="s">
        <v>428</v>
      </c>
      <c r="C116" s="161" t="s">
        <v>402</v>
      </c>
      <c r="D116" s="162">
        <f>D115+D114+D111+D102+D95+D88</f>
        <v>31.5</v>
      </c>
      <c r="E116" s="163">
        <f>E115</f>
        <v>2310.1999999999998</v>
      </c>
      <c r="F116" s="163">
        <f t="shared" si="0"/>
        <v>72771.299999999988</v>
      </c>
      <c r="G116" s="163">
        <f t="shared" si="1"/>
        <v>2310.1999999999998</v>
      </c>
      <c r="H116" s="163">
        <f t="shared" si="2"/>
        <v>873255.59999999986</v>
      </c>
    </row>
    <row r="117" spans="1:14" ht="11.5" customHeight="1" x14ac:dyDescent="0.35">
      <c r="A117" s="443"/>
      <c r="B117" s="443"/>
      <c r="C117" s="443"/>
      <c r="D117" s="443"/>
      <c r="E117" s="443"/>
      <c r="F117" s="443"/>
      <c r="G117" s="443"/>
      <c r="H117" s="443"/>
    </row>
    <row r="118" spans="1:14" s="57" customFormat="1" x14ac:dyDescent="0.35">
      <c r="A118" s="102" t="s">
        <v>0</v>
      </c>
      <c r="B118" s="330" t="s">
        <v>2</v>
      </c>
      <c r="C118" s="330" t="s">
        <v>3</v>
      </c>
      <c r="D118" s="316" t="s">
        <v>4</v>
      </c>
      <c r="E118" s="316"/>
      <c r="F118" s="316"/>
      <c r="G118" s="316"/>
      <c r="H118" s="316"/>
    </row>
    <row r="119" spans="1:14" s="57" customFormat="1" x14ac:dyDescent="0.35">
      <c r="A119" s="285" t="s">
        <v>1</v>
      </c>
      <c r="B119" s="330"/>
      <c r="C119" s="330"/>
      <c r="D119" s="316"/>
      <c r="E119" s="316"/>
      <c r="F119" s="316"/>
      <c r="G119" s="316"/>
      <c r="H119" s="316"/>
    </row>
    <row r="120" spans="1:14" s="57" customFormat="1" ht="24.5" customHeight="1" x14ac:dyDescent="0.35">
      <c r="A120" s="291">
        <v>1</v>
      </c>
      <c r="B120" s="296" t="s">
        <v>302</v>
      </c>
      <c r="C120" s="291" t="s">
        <v>298</v>
      </c>
      <c r="D120" s="311">
        <v>9</v>
      </c>
      <c r="E120" s="311"/>
      <c r="F120" s="311"/>
      <c r="G120" s="311"/>
      <c r="H120" s="311"/>
    </row>
    <row r="121" spans="1:14" s="57" customFormat="1" x14ac:dyDescent="0.35">
      <c r="A121" s="291">
        <v>2</v>
      </c>
      <c r="B121" s="292" t="s">
        <v>430</v>
      </c>
      <c r="C121" s="291" t="s">
        <v>143</v>
      </c>
      <c r="D121" s="311">
        <f>[28]Лист_1!$L$83</f>
        <v>258685.29142857142</v>
      </c>
      <c r="E121" s="311"/>
      <c r="F121" s="311"/>
      <c r="G121" s="311"/>
      <c r="H121" s="311"/>
    </row>
    <row r="122" spans="1:14" s="57" customFormat="1" x14ac:dyDescent="0.35">
      <c r="A122" s="291">
        <v>3</v>
      </c>
      <c r="B122" s="292" t="s">
        <v>258</v>
      </c>
      <c r="C122" s="291" t="s">
        <v>7</v>
      </c>
      <c r="D122" s="311" t="s">
        <v>304</v>
      </c>
      <c r="E122" s="311"/>
      <c r="F122" s="311"/>
      <c r="G122" s="311"/>
      <c r="H122" s="311"/>
    </row>
    <row r="123" spans="1:14" s="57" customFormat="1" x14ac:dyDescent="0.35">
      <c r="A123" s="291">
        <v>4</v>
      </c>
      <c r="B123" s="295" t="s">
        <v>350</v>
      </c>
      <c r="C123" s="291"/>
      <c r="D123" s="311">
        <f>'[4]Мира 122-2'!$D$54</f>
        <v>560859.10090000008</v>
      </c>
      <c r="E123" s="311"/>
      <c r="F123" s="311"/>
      <c r="G123" s="311"/>
      <c r="H123" s="311"/>
    </row>
    <row r="124" spans="1:14" s="57" customFormat="1" x14ac:dyDescent="0.35">
      <c r="A124" s="291">
        <v>5</v>
      </c>
      <c r="B124" s="295" t="s">
        <v>351</v>
      </c>
      <c r="C124" s="291"/>
      <c r="D124" s="310">
        <f>'[4]Мира 122-2'!$D$55</f>
        <v>-722129.97804285714</v>
      </c>
      <c r="E124" s="311"/>
      <c r="F124" s="311"/>
      <c r="G124" s="311"/>
      <c r="H124" s="311"/>
    </row>
    <row r="125" spans="1:14" s="57" customFormat="1" x14ac:dyDescent="0.35">
      <c r="A125" s="291">
        <v>6</v>
      </c>
      <c r="B125" s="292" t="s">
        <v>148</v>
      </c>
      <c r="C125" s="291" t="s">
        <v>7</v>
      </c>
      <c r="D125" s="311" t="s">
        <v>273</v>
      </c>
      <c r="E125" s="311"/>
      <c r="F125" s="311"/>
      <c r="G125" s="311"/>
      <c r="H125" s="311"/>
    </row>
    <row r="126" spans="1:14" s="57" customFormat="1" ht="15.5" hidden="1" customHeight="1" x14ac:dyDescent="0.35">
      <c r="A126" s="102" t="s">
        <v>0</v>
      </c>
      <c r="B126" s="330" t="s">
        <v>2</v>
      </c>
      <c r="C126" s="330" t="s">
        <v>3</v>
      </c>
      <c r="D126" s="311" t="s">
        <v>4</v>
      </c>
      <c r="E126" s="311"/>
      <c r="F126" s="311"/>
      <c r="G126" s="311"/>
      <c r="H126" s="311"/>
    </row>
    <row r="127" spans="1:14" s="57" customFormat="1" ht="15.5" hidden="1" customHeight="1" x14ac:dyDescent="0.35">
      <c r="A127" s="285" t="s">
        <v>1</v>
      </c>
      <c r="B127" s="330"/>
      <c r="C127" s="330"/>
      <c r="D127" s="311"/>
      <c r="E127" s="311"/>
      <c r="F127" s="311"/>
      <c r="G127" s="311"/>
      <c r="H127" s="311"/>
    </row>
    <row r="128" spans="1:14" s="57" customFormat="1" ht="41" hidden="1" customHeight="1" x14ac:dyDescent="0.35">
      <c r="A128" s="291">
        <v>1</v>
      </c>
      <c r="B128" s="296" t="s">
        <v>265</v>
      </c>
      <c r="C128" s="291" t="s">
        <v>7</v>
      </c>
      <c r="D128" s="311">
        <f>[2]КБ40Б!$B$31</f>
        <v>5.0200000000000005</v>
      </c>
      <c r="E128" s="311">
        <f>D128</f>
        <v>5.0200000000000005</v>
      </c>
      <c r="F128" s="311"/>
      <c r="G128" s="311"/>
      <c r="H128" s="311"/>
      <c r="K128" s="57">
        <v>13438.42</v>
      </c>
      <c r="M128" s="57">
        <f>K128*D128</f>
        <v>67460.868400000007</v>
      </c>
      <c r="N128" s="57">
        <f>M128*12</f>
        <v>809530.42080000008</v>
      </c>
    </row>
    <row r="129" spans="1:11" s="57" customFormat="1" ht="16" hidden="1" customHeight="1" x14ac:dyDescent="0.35">
      <c r="A129" s="291">
        <v>2</v>
      </c>
      <c r="B129" s="292" t="s">
        <v>142</v>
      </c>
      <c r="C129" s="291" t="s">
        <v>143</v>
      </c>
      <c r="D129" s="311">
        <f>[2]КБ40Б!$G$31</f>
        <v>851464.09659744019</v>
      </c>
      <c r="E129" s="311"/>
      <c r="F129" s="311">
        <f>D129</f>
        <v>851464.09659744019</v>
      </c>
      <c r="G129" s="311"/>
      <c r="H129" s="311"/>
    </row>
    <row r="130" spans="1:11" s="57" customFormat="1" ht="39" hidden="1" customHeight="1" x14ac:dyDescent="0.35">
      <c r="A130" s="291">
        <v>3</v>
      </c>
      <c r="B130" s="292" t="s">
        <v>258</v>
      </c>
      <c r="C130" s="291" t="s">
        <v>7</v>
      </c>
      <c r="D130" s="311" t="s">
        <v>324</v>
      </c>
      <c r="E130" s="311">
        <f>SUM(E61:E129)</f>
        <v>67000.819999999978</v>
      </c>
      <c r="F130" s="311">
        <f>SUM(F61:F129)</f>
        <v>1034662.9565974402</v>
      </c>
      <c r="G130" s="311"/>
      <c r="H130" s="311"/>
    </row>
    <row r="131" spans="1:11" s="57" customFormat="1" ht="16" hidden="1" customHeight="1" x14ac:dyDescent="0.35">
      <c r="A131" s="291">
        <v>4</v>
      </c>
      <c r="B131" s="292" t="s">
        <v>148</v>
      </c>
      <c r="C131" s="291" t="s">
        <v>7</v>
      </c>
      <c r="D131" s="311" t="s">
        <v>155</v>
      </c>
      <c r="E131" s="311"/>
      <c r="F131" s="311"/>
      <c r="G131" s="311"/>
      <c r="H131" s="311"/>
    </row>
    <row r="132" spans="1:11" s="57" customFormat="1" x14ac:dyDescent="0.35">
      <c r="A132" s="102" t="s">
        <v>0</v>
      </c>
      <c r="B132" s="330" t="s">
        <v>2</v>
      </c>
      <c r="C132" s="330" t="s">
        <v>3</v>
      </c>
      <c r="D132" s="316" t="s">
        <v>4</v>
      </c>
      <c r="E132" s="316"/>
      <c r="F132" s="316"/>
      <c r="G132" s="316"/>
      <c r="H132" s="316"/>
    </row>
    <row r="133" spans="1:11" s="57" customFormat="1" x14ac:dyDescent="0.35">
      <c r="A133" s="285" t="s">
        <v>1</v>
      </c>
      <c r="B133" s="330"/>
      <c r="C133" s="330"/>
      <c r="D133" s="316"/>
      <c r="E133" s="316"/>
      <c r="F133" s="316"/>
      <c r="G133" s="316"/>
      <c r="H133" s="316"/>
    </row>
    <row r="134" spans="1:11" s="57" customFormat="1" ht="16" hidden="1" customHeight="1" x14ac:dyDescent="0.35">
      <c r="A134" s="291" t="s">
        <v>5</v>
      </c>
      <c r="B134" s="292" t="s">
        <v>6</v>
      </c>
      <c r="C134" s="291" t="s">
        <v>7</v>
      </c>
      <c r="D134" s="311">
        <v>43851</v>
      </c>
      <c r="E134" s="311"/>
      <c r="F134" s="311"/>
      <c r="G134" s="311"/>
      <c r="H134" s="311"/>
    </row>
    <row r="135" spans="1:11" s="57" customFormat="1" x14ac:dyDescent="0.35">
      <c r="A135" s="291">
        <v>1</v>
      </c>
      <c r="B135" s="292" t="s">
        <v>149</v>
      </c>
      <c r="C135" s="291" t="s">
        <v>7</v>
      </c>
      <c r="D135" s="334" t="s">
        <v>157</v>
      </c>
      <c r="E135" s="334"/>
      <c r="F135" s="334"/>
      <c r="G135" s="334"/>
      <c r="H135" s="334"/>
    </row>
    <row r="136" spans="1:11" s="57" customFormat="1" x14ac:dyDescent="0.35">
      <c r="A136" s="291">
        <v>2</v>
      </c>
      <c r="B136" s="292" t="s">
        <v>154</v>
      </c>
      <c r="C136" s="291" t="s">
        <v>7</v>
      </c>
      <c r="D136" s="311" t="s">
        <v>158</v>
      </c>
      <c r="E136" s="311"/>
      <c r="F136" s="311"/>
      <c r="G136" s="311"/>
      <c r="H136" s="311"/>
    </row>
    <row r="137" spans="1:11" s="57" customFormat="1" x14ac:dyDescent="0.35">
      <c r="A137" s="291">
        <v>3</v>
      </c>
      <c r="B137" s="292" t="s">
        <v>264</v>
      </c>
      <c r="C137" s="125"/>
      <c r="D137" s="311"/>
      <c r="E137" s="311"/>
      <c r="F137" s="311"/>
      <c r="G137" s="311"/>
      <c r="H137" s="311"/>
    </row>
    <row r="138" spans="1:11" s="57" customFormat="1" x14ac:dyDescent="0.35">
      <c r="A138" s="291" t="s">
        <v>218</v>
      </c>
      <c r="B138" s="295" t="s">
        <v>353</v>
      </c>
      <c r="C138" s="126" t="s">
        <v>308</v>
      </c>
      <c r="D138" s="311">
        <v>0.158</v>
      </c>
      <c r="E138" s="311"/>
      <c r="F138" s="311"/>
      <c r="G138" s="311"/>
      <c r="H138" s="311"/>
    </row>
    <row r="139" spans="1:11" s="57" customFormat="1" x14ac:dyDescent="0.35">
      <c r="A139" s="291" t="s">
        <v>219</v>
      </c>
      <c r="B139" s="295" t="s">
        <v>354</v>
      </c>
      <c r="C139" s="126" t="s">
        <v>308</v>
      </c>
      <c r="D139" s="311">
        <v>0.55400000000000005</v>
      </c>
      <c r="E139" s="311"/>
      <c r="F139" s="311"/>
      <c r="G139" s="311"/>
      <c r="H139" s="311"/>
    </row>
    <row r="140" spans="1:11" s="57" customFormat="1" x14ac:dyDescent="0.35">
      <c r="A140" s="291" t="s">
        <v>221</v>
      </c>
      <c r="B140" s="295" t="s">
        <v>161</v>
      </c>
      <c r="C140" s="126" t="s">
        <v>309</v>
      </c>
      <c r="D140" s="311">
        <v>0.16800000000000001</v>
      </c>
      <c r="E140" s="311"/>
      <c r="F140" s="311"/>
      <c r="G140" s="311"/>
      <c r="H140" s="311"/>
    </row>
    <row r="141" spans="1:11" s="57" customFormat="1" x14ac:dyDescent="0.35">
      <c r="A141" s="291" t="s">
        <v>222</v>
      </c>
      <c r="B141" s="295" t="s">
        <v>163</v>
      </c>
      <c r="C141" s="126" t="s">
        <v>310</v>
      </c>
      <c r="D141" s="311">
        <v>2.9169999999999998</v>
      </c>
      <c r="E141" s="311"/>
      <c r="F141" s="311"/>
      <c r="G141" s="311"/>
      <c r="H141" s="311"/>
    </row>
    <row r="142" spans="1:11" s="57" customFormat="1" x14ac:dyDescent="0.35">
      <c r="A142" s="291" t="s">
        <v>355</v>
      </c>
      <c r="B142" s="295" t="s">
        <v>165</v>
      </c>
      <c r="C142" s="126" t="s">
        <v>311</v>
      </c>
      <c r="D142" s="311">
        <v>0.29499999999999998</v>
      </c>
      <c r="E142" s="311"/>
      <c r="F142" s="311"/>
      <c r="G142" s="311"/>
      <c r="H142" s="311"/>
    </row>
    <row r="143" spans="1:11" s="57" customFormat="1" x14ac:dyDescent="0.35">
      <c r="A143" s="291">
        <v>4</v>
      </c>
      <c r="B143" s="332" t="s">
        <v>477</v>
      </c>
      <c r="C143" s="332"/>
      <c r="D143" s="332"/>
      <c r="E143" s="332"/>
      <c r="F143" s="332"/>
      <c r="G143" s="332"/>
      <c r="H143" s="332"/>
    </row>
    <row r="144" spans="1:11" s="57" customFormat="1" x14ac:dyDescent="0.35">
      <c r="A144" s="291" t="s">
        <v>159</v>
      </c>
      <c r="B144" s="295" t="s">
        <v>356</v>
      </c>
      <c r="C144" s="126" t="s">
        <v>141</v>
      </c>
      <c r="D144" s="310">
        <f>[28]Лист_1!$I$80</f>
        <v>4372.05</v>
      </c>
      <c r="E144" s="311"/>
      <c r="F144" s="311"/>
      <c r="G144" s="311"/>
      <c r="H144" s="311"/>
      <c r="K144" s="58"/>
    </row>
    <row r="145" spans="1:11" s="57" customFormat="1" x14ac:dyDescent="0.35">
      <c r="A145" s="291" t="s">
        <v>160</v>
      </c>
      <c r="B145" s="295" t="s">
        <v>357</v>
      </c>
      <c r="C145" s="126"/>
      <c r="D145" s="310">
        <f>[28]Лист_1!$J$80+[28]Лист_1!$K$80</f>
        <v>16126.89</v>
      </c>
      <c r="E145" s="311"/>
      <c r="F145" s="311"/>
      <c r="G145" s="311"/>
      <c r="H145" s="311"/>
      <c r="K145" s="58"/>
    </row>
    <row r="146" spans="1:11" s="57" customFormat="1" x14ac:dyDescent="0.35">
      <c r="A146" s="291" t="s">
        <v>162</v>
      </c>
      <c r="B146" s="295" t="s">
        <v>161</v>
      </c>
      <c r="C146" s="126" t="s">
        <v>141</v>
      </c>
      <c r="D146" s="310">
        <f>[28]Лист_1!$M$80</f>
        <v>4416.3999999999996</v>
      </c>
      <c r="E146" s="311"/>
      <c r="F146" s="311"/>
      <c r="G146" s="311"/>
      <c r="H146" s="311"/>
    </row>
    <row r="147" spans="1:11" s="57" customFormat="1" x14ac:dyDescent="0.35">
      <c r="A147" s="291" t="s">
        <v>164</v>
      </c>
      <c r="B147" s="295" t="s">
        <v>163</v>
      </c>
      <c r="C147" s="126" t="s">
        <v>141</v>
      </c>
      <c r="D147" s="310">
        <f>[28]Лист_1!$O$80</f>
        <v>78640.77</v>
      </c>
      <c r="E147" s="311"/>
      <c r="F147" s="311"/>
      <c r="G147" s="311"/>
      <c r="H147" s="311"/>
    </row>
    <row r="148" spans="1:11" s="57" customFormat="1" x14ac:dyDescent="0.35">
      <c r="A148" s="291" t="s">
        <v>358</v>
      </c>
      <c r="B148" s="295" t="s">
        <v>165</v>
      </c>
      <c r="C148" s="126" t="s">
        <v>141</v>
      </c>
      <c r="D148" s="310">
        <f>[13]Лист_1!$H$404</f>
        <v>40627.33</v>
      </c>
      <c r="E148" s="311"/>
      <c r="F148" s="311"/>
      <c r="G148" s="311"/>
      <c r="H148" s="311"/>
    </row>
    <row r="149" spans="1:11" s="57" customFormat="1" x14ac:dyDescent="0.35">
      <c r="A149" s="291">
        <v>5</v>
      </c>
      <c r="B149" s="295" t="s">
        <v>476</v>
      </c>
      <c r="C149" s="126" t="s">
        <v>141</v>
      </c>
      <c r="D149" s="310">
        <f>[28]Лист_1!$Q$80</f>
        <v>-8184.6</v>
      </c>
      <c r="E149" s="311"/>
      <c r="F149" s="311"/>
      <c r="G149" s="311"/>
      <c r="H149" s="311"/>
    </row>
    <row r="150" spans="1:11" s="57" customFormat="1" x14ac:dyDescent="0.35">
      <c r="A150" s="291" t="s">
        <v>21</v>
      </c>
      <c r="B150" s="295" t="s">
        <v>296</v>
      </c>
      <c r="C150" s="126" t="s">
        <v>141</v>
      </c>
      <c r="D150" s="310">
        <f>[28]Лист_1!$P$80</f>
        <v>-5011.68</v>
      </c>
      <c r="E150" s="311"/>
      <c r="F150" s="311"/>
      <c r="G150" s="311"/>
      <c r="H150" s="311"/>
    </row>
    <row r="151" spans="1:11" s="57" customFormat="1" x14ac:dyDescent="0.35">
      <c r="A151" s="291" t="s">
        <v>23</v>
      </c>
      <c r="B151" s="295" t="s">
        <v>144</v>
      </c>
      <c r="C151" s="126" t="s">
        <v>7</v>
      </c>
      <c r="D151" s="311" t="s">
        <v>478</v>
      </c>
      <c r="E151" s="311"/>
      <c r="F151" s="311"/>
      <c r="G151" s="311"/>
      <c r="H151" s="311"/>
    </row>
    <row r="152" spans="1:11" hidden="1" x14ac:dyDescent="0.35">
      <c r="A152" s="35"/>
      <c r="B152" s="25"/>
      <c r="C152" s="25"/>
      <c r="D152" s="25"/>
      <c r="E152" s="25"/>
      <c r="F152" s="25"/>
      <c r="G152" s="25"/>
      <c r="H152" s="25"/>
    </row>
    <row r="153" spans="1:11" hidden="1" x14ac:dyDescent="0.35">
      <c r="A153" s="35"/>
      <c r="B153" s="25"/>
      <c r="C153" s="25"/>
      <c r="D153" s="25"/>
      <c r="E153" s="25"/>
      <c r="F153" s="25"/>
      <c r="G153" s="25"/>
      <c r="H153" s="25"/>
    </row>
    <row r="154" spans="1:11" s="57" customFormat="1" ht="31" customHeight="1" x14ac:dyDescent="0.35">
      <c r="A154" s="291" t="s">
        <v>23</v>
      </c>
      <c r="B154" s="292" t="s">
        <v>145</v>
      </c>
      <c r="C154" s="291" t="s">
        <v>7</v>
      </c>
      <c r="D154" s="333" t="s">
        <v>429</v>
      </c>
      <c r="E154" s="333"/>
      <c r="F154" s="333"/>
      <c r="G154" s="333"/>
      <c r="H154" s="333"/>
    </row>
    <row r="155" spans="1:11" x14ac:dyDescent="0.35">
      <c r="A155" s="35"/>
      <c r="B155" s="25"/>
      <c r="C155" s="25"/>
      <c r="D155" s="25"/>
      <c r="E155" s="25"/>
      <c r="F155" s="25"/>
      <c r="G155" s="25"/>
      <c r="H155" s="25"/>
    </row>
    <row r="156" spans="1:11" x14ac:dyDescent="0.35">
      <c r="A156" s="444" t="s">
        <v>206</v>
      </c>
      <c r="B156" s="444"/>
      <c r="C156" s="444"/>
      <c r="D156" s="444"/>
      <c r="E156" s="25"/>
      <c r="F156" s="25"/>
      <c r="G156" s="25"/>
      <c r="H156" s="25"/>
    </row>
    <row r="157" spans="1:11" x14ac:dyDescent="0.35">
      <c r="A157" s="35"/>
      <c r="B157" s="25"/>
      <c r="C157" s="25"/>
      <c r="D157" s="25"/>
      <c r="E157" s="25"/>
      <c r="F157" s="25"/>
      <c r="G157" s="25"/>
      <c r="H157" s="25"/>
    </row>
    <row r="158" spans="1:11" x14ac:dyDescent="0.35">
      <c r="A158" s="22" t="s">
        <v>0</v>
      </c>
      <c r="B158" s="398" t="s">
        <v>2</v>
      </c>
      <c r="C158" s="398" t="s">
        <v>3</v>
      </c>
      <c r="D158" s="398" t="s">
        <v>4</v>
      </c>
      <c r="E158" s="297"/>
      <c r="F158" s="25"/>
      <c r="G158" s="25"/>
      <c r="H158" s="25"/>
    </row>
    <row r="159" spans="1:11" x14ac:dyDescent="0.35">
      <c r="A159" s="297" t="s">
        <v>1</v>
      </c>
      <c r="B159" s="398"/>
      <c r="C159" s="398"/>
      <c r="D159" s="398"/>
      <c r="E159" s="297"/>
      <c r="F159" s="25"/>
      <c r="G159" s="25"/>
      <c r="H159" s="25"/>
    </row>
    <row r="160" spans="1:11" x14ac:dyDescent="0.35">
      <c r="A160" s="298">
        <v>1</v>
      </c>
      <c r="B160" s="299" t="s">
        <v>207</v>
      </c>
      <c r="C160" s="298" t="s">
        <v>7</v>
      </c>
      <c r="D160" s="300" t="str">
        <f>D172</f>
        <v>Технический этаж</v>
      </c>
      <c r="E160" s="300"/>
      <c r="F160" s="25"/>
      <c r="G160" s="25"/>
      <c r="H160" s="25"/>
    </row>
    <row r="161" spans="1:8" x14ac:dyDescent="0.35">
      <c r="A161" s="298" t="s">
        <v>276</v>
      </c>
      <c r="B161" s="299" t="s">
        <v>210</v>
      </c>
      <c r="C161" s="298" t="s">
        <v>7</v>
      </c>
      <c r="D161" s="300" t="str">
        <f>D173</f>
        <v>Тех. помещение</v>
      </c>
      <c r="E161" s="300"/>
      <c r="F161" s="25"/>
      <c r="G161" s="25"/>
      <c r="H161" s="25"/>
    </row>
    <row r="162" spans="1:8" x14ac:dyDescent="0.35">
      <c r="A162" s="298" t="s">
        <v>277</v>
      </c>
      <c r="B162" s="299" t="s">
        <v>213</v>
      </c>
      <c r="C162" s="298" t="s">
        <v>7</v>
      </c>
      <c r="D162" s="300" t="s">
        <v>510</v>
      </c>
      <c r="E162" s="300"/>
      <c r="F162" s="25"/>
      <c r="G162" s="25"/>
      <c r="H162" s="25"/>
    </row>
    <row r="163" spans="1:8" x14ac:dyDescent="0.35">
      <c r="A163" s="191" t="s">
        <v>278</v>
      </c>
      <c r="B163" s="299" t="s">
        <v>216</v>
      </c>
      <c r="C163" s="298" t="s">
        <v>7</v>
      </c>
      <c r="D163" s="192">
        <v>2022</v>
      </c>
      <c r="E163" s="34"/>
      <c r="F163" s="25"/>
      <c r="G163" s="25"/>
      <c r="H163" s="25"/>
    </row>
    <row r="164" spans="1:8" x14ac:dyDescent="0.35">
      <c r="A164" s="298" t="s">
        <v>279</v>
      </c>
      <c r="B164" s="299" t="s">
        <v>274</v>
      </c>
      <c r="C164" s="298" t="s">
        <v>141</v>
      </c>
      <c r="D164" s="195">
        <v>6000</v>
      </c>
      <c r="E164" s="300"/>
      <c r="F164" s="25"/>
      <c r="G164" s="25"/>
      <c r="H164" s="25"/>
    </row>
    <row r="165" spans="1:8" ht="6.5" customHeight="1" x14ac:dyDescent="0.35">
      <c r="A165" s="298"/>
      <c r="B165" s="299"/>
      <c r="C165" s="298"/>
      <c r="D165" s="300"/>
      <c r="E165" s="300"/>
      <c r="F165" s="25"/>
      <c r="G165" s="25"/>
      <c r="H165" s="25"/>
    </row>
    <row r="166" spans="1:8" s="57" customFormat="1" x14ac:dyDescent="0.35">
      <c r="A166" s="291" t="s">
        <v>9</v>
      </c>
      <c r="B166" s="292" t="s">
        <v>207</v>
      </c>
      <c r="C166" s="291" t="s">
        <v>7</v>
      </c>
      <c r="D166" s="296" t="s">
        <v>208</v>
      </c>
      <c r="E166" s="296"/>
      <c r="F166" s="91"/>
      <c r="G166" s="91"/>
      <c r="H166" s="91"/>
    </row>
    <row r="167" spans="1:8" s="57" customFormat="1" x14ac:dyDescent="0.35">
      <c r="A167" s="291" t="s">
        <v>209</v>
      </c>
      <c r="B167" s="292" t="s">
        <v>210</v>
      </c>
      <c r="C167" s="291" t="s">
        <v>7</v>
      </c>
      <c r="D167" s="296" t="s">
        <v>211</v>
      </c>
      <c r="E167" s="296"/>
      <c r="F167" s="91"/>
      <c r="G167" s="91"/>
      <c r="H167" s="91"/>
    </row>
    <row r="168" spans="1:8" s="57" customFormat="1" x14ac:dyDescent="0.35">
      <c r="A168" s="291" t="s">
        <v>212</v>
      </c>
      <c r="B168" s="292" t="s">
        <v>213</v>
      </c>
      <c r="C168" s="291" t="s">
        <v>7</v>
      </c>
      <c r="D168" s="296" t="s">
        <v>490</v>
      </c>
      <c r="E168" s="296"/>
      <c r="F168" s="91"/>
      <c r="G168" s="91"/>
      <c r="H168" s="91"/>
    </row>
    <row r="169" spans="1:8" s="57" customFormat="1" x14ac:dyDescent="0.35">
      <c r="A169" s="193" t="s">
        <v>215</v>
      </c>
      <c r="B169" s="292" t="s">
        <v>216</v>
      </c>
      <c r="C169" s="291" t="s">
        <v>7</v>
      </c>
      <c r="D169" s="194">
        <f>D163</f>
        <v>2022</v>
      </c>
      <c r="E169" s="105"/>
      <c r="F169" s="91"/>
      <c r="G169" s="91"/>
      <c r="H169" s="91"/>
    </row>
    <row r="170" spans="1:8" s="57" customFormat="1" x14ac:dyDescent="0.35">
      <c r="A170" s="291" t="s">
        <v>217</v>
      </c>
      <c r="B170" s="292" t="s">
        <v>274</v>
      </c>
      <c r="C170" s="291" t="s">
        <v>141</v>
      </c>
      <c r="D170" s="296">
        <v>0</v>
      </c>
      <c r="E170" s="296"/>
      <c r="F170" s="91"/>
      <c r="G170" s="91"/>
      <c r="H170" s="91"/>
    </row>
    <row r="171" spans="1:8" ht="6.5" customHeight="1" x14ac:dyDescent="0.35">
      <c r="A171" s="298"/>
      <c r="B171" s="299"/>
      <c r="C171" s="298"/>
      <c r="D171" s="300"/>
      <c r="E171" s="300"/>
      <c r="F171" s="25"/>
      <c r="G171" s="25"/>
      <c r="H171" s="25"/>
    </row>
    <row r="172" spans="1:8" x14ac:dyDescent="0.35">
      <c r="A172" s="298">
        <v>3</v>
      </c>
      <c r="B172" s="299" t="s">
        <v>207</v>
      </c>
      <c r="C172" s="298"/>
      <c r="D172" s="300" t="s">
        <v>208</v>
      </c>
      <c r="E172" s="300"/>
      <c r="F172" s="25"/>
      <c r="G172" s="25"/>
      <c r="H172" s="25"/>
    </row>
    <row r="173" spans="1:8" x14ac:dyDescent="0.35">
      <c r="A173" s="298" t="s">
        <v>218</v>
      </c>
      <c r="B173" s="299" t="s">
        <v>210</v>
      </c>
      <c r="C173" s="298" t="s">
        <v>7</v>
      </c>
      <c r="D173" s="300" t="s">
        <v>211</v>
      </c>
      <c r="E173" s="300"/>
      <c r="F173" s="25"/>
      <c r="G173" s="25"/>
      <c r="H173" s="25"/>
    </row>
    <row r="174" spans="1:8" ht="43.5" customHeight="1" x14ac:dyDescent="0.35">
      <c r="A174" s="298" t="s">
        <v>219</v>
      </c>
      <c r="B174" s="299" t="s">
        <v>213</v>
      </c>
      <c r="C174" s="298" t="s">
        <v>7</v>
      </c>
      <c r="D174" s="300" t="s">
        <v>511</v>
      </c>
      <c r="E174" s="300"/>
      <c r="F174" s="25"/>
      <c r="G174" s="25"/>
      <c r="H174" s="25"/>
    </row>
    <row r="175" spans="1:8" x14ac:dyDescent="0.35">
      <c r="A175" s="298" t="s">
        <v>221</v>
      </c>
      <c r="B175" s="299" t="s">
        <v>216</v>
      </c>
      <c r="C175" s="298" t="s">
        <v>7</v>
      </c>
      <c r="D175" s="192">
        <v>2022</v>
      </c>
      <c r="E175" s="34"/>
      <c r="F175" s="25"/>
      <c r="G175" s="25"/>
      <c r="H175" s="25"/>
    </row>
    <row r="176" spans="1:8" x14ac:dyDescent="0.35">
      <c r="A176" s="298" t="s">
        <v>222</v>
      </c>
      <c r="B176" s="299" t="s">
        <v>274</v>
      </c>
      <c r="C176" s="298" t="s">
        <v>141</v>
      </c>
      <c r="D176" s="195">
        <f>'[14]2025'!$Q$93</f>
        <v>300</v>
      </c>
      <c r="E176" s="300"/>
      <c r="F176" s="25"/>
      <c r="G176" s="25"/>
      <c r="H176" s="25"/>
    </row>
    <row r="177" spans="1:8" ht="6.5" customHeight="1" x14ac:dyDescent="0.35">
      <c r="A177" s="298"/>
      <c r="B177" s="299"/>
      <c r="C177" s="298"/>
      <c r="D177" s="300"/>
      <c r="E177" s="300"/>
      <c r="F177" s="25"/>
      <c r="G177" s="25"/>
      <c r="H177" s="25"/>
    </row>
    <row r="178" spans="1:8" x14ac:dyDescent="0.35">
      <c r="A178" s="298">
        <v>4</v>
      </c>
      <c r="B178" s="299" t="s">
        <v>207</v>
      </c>
      <c r="C178" s="298"/>
      <c r="D178" s="300" t="str">
        <f>D179</f>
        <v>Придомовая территория</v>
      </c>
      <c r="E178" s="300"/>
      <c r="F178" s="25"/>
      <c r="G178" s="25"/>
      <c r="H178" s="25"/>
    </row>
    <row r="179" spans="1:8" x14ac:dyDescent="0.35">
      <c r="A179" s="298" t="s">
        <v>159</v>
      </c>
      <c r="B179" s="299" t="s">
        <v>210</v>
      </c>
      <c r="C179" s="298" t="s">
        <v>7</v>
      </c>
      <c r="D179" s="300" t="s">
        <v>512</v>
      </c>
      <c r="E179" s="300"/>
      <c r="F179" s="25"/>
      <c r="G179" s="25"/>
      <c r="H179" s="25"/>
    </row>
    <row r="180" spans="1:8" ht="15.5" customHeight="1" x14ac:dyDescent="0.35">
      <c r="A180" s="399" t="s">
        <v>160</v>
      </c>
      <c r="B180" s="400" t="s">
        <v>213</v>
      </c>
      <c r="C180" s="399" t="s">
        <v>7</v>
      </c>
      <c r="D180" s="401" t="s">
        <v>513</v>
      </c>
      <c r="E180" s="300"/>
      <c r="F180" s="25"/>
      <c r="G180" s="25"/>
      <c r="H180" s="25"/>
    </row>
    <row r="181" spans="1:8" x14ac:dyDescent="0.35">
      <c r="A181" s="399"/>
      <c r="B181" s="400"/>
      <c r="C181" s="399"/>
      <c r="D181" s="401"/>
      <c r="E181" s="300"/>
      <c r="F181" s="25"/>
      <c r="G181" s="25"/>
      <c r="H181" s="25"/>
    </row>
    <row r="182" spans="1:8" x14ac:dyDescent="0.35">
      <c r="A182" s="298" t="s">
        <v>162</v>
      </c>
      <c r="B182" s="299" t="s">
        <v>216</v>
      </c>
      <c r="C182" s="298" t="s">
        <v>7</v>
      </c>
      <c r="D182" s="192">
        <v>2015</v>
      </c>
      <c r="E182" s="34"/>
      <c r="F182" s="91"/>
      <c r="G182" s="91"/>
      <c r="H182" s="91"/>
    </row>
    <row r="183" spans="1:8" ht="19" customHeight="1" x14ac:dyDescent="0.35">
      <c r="A183" s="298" t="s">
        <v>164</v>
      </c>
      <c r="B183" s="299" t="s">
        <v>274</v>
      </c>
      <c r="C183" s="298" t="s">
        <v>141</v>
      </c>
      <c r="D183" s="195">
        <f>'[14]2025'!$Q$94</f>
        <v>45000</v>
      </c>
      <c r="E183" s="300"/>
      <c r="F183" s="91"/>
      <c r="G183" s="445"/>
      <c r="H183" s="91"/>
    </row>
    <row r="184" spans="1:8" x14ac:dyDescent="0.35">
      <c r="A184" s="35"/>
      <c r="B184" s="25"/>
      <c r="C184" s="25"/>
      <c r="D184" s="25"/>
      <c r="E184" s="25"/>
      <c r="F184" s="91"/>
      <c r="G184" s="91"/>
      <c r="H184" s="91"/>
    </row>
    <row r="185" spans="1:8" ht="17" customHeight="1" x14ac:dyDescent="0.35">
      <c r="A185" s="35"/>
      <c r="B185" s="25"/>
      <c r="C185" s="25"/>
      <c r="D185" s="25"/>
      <c r="E185" s="25"/>
      <c r="F185" s="91"/>
      <c r="G185" s="91"/>
      <c r="H185" s="91"/>
    </row>
    <row r="186" spans="1:8" hidden="1" x14ac:dyDescent="0.35">
      <c r="A186" s="444" t="s">
        <v>228</v>
      </c>
      <c r="B186" s="444"/>
      <c r="C186" s="444"/>
      <c r="D186" s="444"/>
      <c r="E186" s="25"/>
      <c r="F186" s="91"/>
      <c r="G186" s="91"/>
      <c r="H186" s="91"/>
    </row>
    <row r="187" spans="1:8" hidden="1" x14ac:dyDescent="0.35">
      <c r="A187" s="446"/>
      <c r="B187" s="25"/>
      <c r="C187" s="25"/>
      <c r="D187" s="25"/>
      <c r="E187" s="25"/>
      <c r="F187" s="91"/>
      <c r="G187" s="91"/>
      <c r="H187" s="91"/>
    </row>
    <row r="188" spans="1:8" hidden="1" x14ac:dyDescent="0.35">
      <c r="A188" s="22" t="s">
        <v>0</v>
      </c>
      <c r="B188" s="398" t="s">
        <v>2</v>
      </c>
      <c r="C188" s="398" t="s">
        <v>3</v>
      </c>
      <c r="D188" s="398" t="s">
        <v>4</v>
      </c>
      <c r="E188" s="297"/>
      <c r="F188" s="91"/>
      <c r="G188" s="91"/>
      <c r="H188" s="91"/>
    </row>
    <row r="189" spans="1:8" hidden="1" x14ac:dyDescent="0.35">
      <c r="A189" s="297" t="s">
        <v>1</v>
      </c>
      <c r="B189" s="398"/>
      <c r="C189" s="398"/>
      <c r="D189" s="398"/>
      <c r="E189" s="297"/>
      <c r="F189" s="91"/>
      <c r="G189" s="91"/>
      <c r="H189" s="91"/>
    </row>
    <row r="190" spans="1:8" ht="16" hidden="1" x14ac:dyDescent="0.35">
      <c r="A190" s="298" t="s">
        <v>5</v>
      </c>
      <c r="B190" s="447" t="s">
        <v>6</v>
      </c>
      <c r="C190" s="298" t="s">
        <v>7</v>
      </c>
      <c r="D190" s="23">
        <v>43851</v>
      </c>
      <c r="E190" s="23"/>
      <c r="F190" s="91"/>
      <c r="G190" s="91"/>
      <c r="H190" s="91"/>
    </row>
    <row r="191" spans="1:8" ht="31" hidden="1" x14ac:dyDescent="0.35">
      <c r="A191" s="298" t="s">
        <v>5</v>
      </c>
      <c r="B191" s="299" t="s">
        <v>229</v>
      </c>
      <c r="C191" s="298" t="s">
        <v>7</v>
      </c>
      <c r="D191" s="448" t="s">
        <v>230</v>
      </c>
      <c r="E191" s="448"/>
      <c r="F191" s="91"/>
      <c r="G191" s="91"/>
      <c r="H191" s="91"/>
    </row>
    <row r="192" spans="1:8" ht="31" hidden="1" x14ac:dyDescent="0.35">
      <c r="A192" s="298" t="s">
        <v>9</v>
      </c>
      <c r="B192" s="299" t="s">
        <v>229</v>
      </c>
      <c r="C192" s="298" t="s">
        <v>7</v>
      </c>
      <c r="D192" s="448" t="s">
        <v>231</v>
      </c>
      <c r="E192" s="448"/>
      <c r="F192" s="91"/>
      <c r="G192" s="91"/>
      <c r="H192" s="91"/>
    </row>
    <row r="193" spans="1:8" ht="31" hidden="1" x14ac:dyDescent="0.35">
      <c r="A193" s="298" t="s">
        <v>12</v>
      </c>
      <c r="B193" s="299" t="s">
        <v>229</v>
      </c>
      <c r="C193" s="298" t="s">
        <v>7</v>
      </c>
      <c r="D193" s="448" t="s">
        <v>232</v>
      </c>
      <c r="E193" s="448"/>
      <c r="F193" s="91"/>
      <c r="G193" s="91"/>
      <c r="H193" s="91"/>
    </row>
    <row r="194" spans="1:8" ht="31" hidden="1" x14ac:dyDescent="0.35">
      <c r="A194" s="298" t="s">
        <v>15</v>
      </c>
      <c r="B194" s="299" t="s">
        <v>229</v>
      </c>
      <c r="C194" s="298" t="s">
        <v>7</v>
      </c>
      <c r="D194" s="448" t="s">
        <v>233</v>
      </c>
      <c r="E194" s="448"/>
      <c r="F194" s="91"/>
      <c r="G194" s="91"/>
      <c r="H194" s="91"/>
    </row>
    <row r="195" spans="1:8" ht="31" hidden="1" x14ac:dyDescent="0.35">
      <c r="A195" s="298" t="s">
        <v>18</v>
      </c>
      <c r="B195" s="449" t="s">
        <v>229</v>
      </c>
      <c r="C195" s="298" t="s">
        <v>7</v>
      </c>
      <c r="D195" s="448" t="s">
        <v>234</v>
      </c>
      <c r="E195" s="448"/>
      <c r="F195" s="91"/>
      <c r="G195" s="91"/>
      <c r="H195" s="91"/>
    </row>
    <row r="196" spans="1:8" ht="31" hidden="1" x14ac:dyDescent="0.35">
      <c r="A196" s="298" t="s">
        <v>21</v>
      </c>
      <c r="B196" s="449" t="s">
        <v>229</v>
      </c>
      <c r="C196" s="298" t="s">
        <v>7</v>
      </c>
      <c r="D196" s="448" t="s">
        <v>235</v>
      </c>
      <c r="E196" s="448"/>
      <c r="F196" s="91"/>
      <c r="G196" s="91"/>
      <c r="H196" s="91"/>
    </row>
    <row r="197" spans="1:8" ht="31" hidden="1" x14ac:dyDescent="0.35">
      <c r="A197" s="298" t="s">
        <v>23</v>
      </c>
      <c r="B197" s="449" t="s">
        <v>229</v>
      </c>
      <c r="C197" s="298" t="s">
        <v>7</v>
      </c>
      <c r="D197" s="448" t="s">
        <v>236</v>
      </c>
      <c r="E197" s="448"/>
      <c r="F197" s="91"/>
      <c r="G197" s="91"/>
      <c r="H197" s="91"/>
    </row>
    <row r="198" spans="1:8" ht="31" hidden="1" x14ac:dyDescent="0.35">
      <c r="A198" s="298" t="s">
        <v>26</v>
      </c>
      <c r="B198" s="449" t="s">
        <v>229</v>
      </c>
      <c r="C198" s="298" t="s">
        <v>7</v>
      </c>
      <c r="D198" s="448" t="s">
        <v>237</v>
      </c>
      <c r="E198" s="448"/>
      <c r="F198" s="91"/>
      <c r="G198" s="91"/>
      <c r="H198" s="91"/>
    </row>
    <row r="199" spans="1:8" hidden="1" x14ac:dyDescent="0.35">
      <c r="A199" s="298"/>
      <c r="B199" s="299"/>
      <c r="C199" s="298"/>
      <c r="D199" s="448"/>
      <c r="E199" s="448"/>
      <c r="F199" s="91"/>
      <c r="G199" s="91"/>
      <c r="H199" s="91"/>
    </row>
    <row r="200" spans="1:8" x14ac:dyDescent="0.35">
      <c r="A200" s="35"/>
      <c r="B200" s="25"/>
      <c r="C200" s="25"/>
      <c r="D200" s="25"/>
      <c r="E200" s="25"/>
      <c r="F200" s="91"/>
      <c r="G200" s="91"/>
      <c r="H200" s="91"/>
    </row>
    <row r="201" spans="1:8" ht="16" x14ac:dyDescent="0.4">
      <c r="A201" s="450" t="s">
        <v>238</v>
      </c>
      <c r="B201" s="450"/>
      <c r="C201" s="450"/>
      <c r="D201" s="450"/>
      <c r="E201" s="25"/>
      <c r="F201" s="91"/>
      <c r="G201" s="91"/>
      <c r="H201" s="91"/>
    </row>
    <row r="202" spans="1:8" s="57" customFormat="1" x14ac:dyDescent="0.35">
      <c r="A202" s="287" t="s">
        <v>0</v>
      </c>
      <c r="B202" s="316" t="s">
        <v>2</v>
      </c>
      <c r="C202" s="316" t="s">
        <v>3</v>
      </c>
      <c r="D202" s="316" t="s">
        <v>4</v>
      </c>
      <c r="E202" s="91"/>
      <c r="F202" s="91"/>
      <c r="G202" s="91"/>
      <c r="H202" s="91"/>
    </row>
    <row r="203" spans="1:8" s="57" customFormat="1" x14ac:dyDescent="0.35">
      <c r="A203" s="287" t="s">
        <v>1</v>
      </c>
      <c r="B203" s="316"/>
      <c r="C203" s="316"/>
      <c r="D203" s="316"/>
      <c r="E203" s="91"/>
      <c r="F203" s="91"/>
      <c r="G203" s="91"/>
      <c r="H203" s="91"/>
    </row>
    <row r="204" spans="1:8" s="57" customFormat="1" ht="16" x14ac:dyDescent="0.35">
      <c r="A204" s="289" t="s">
        <v>5</v>
      </c>
      <c r="B204" s="290" t="s">
        <v>6</v>
      </c>
      <c r="C204" s="289" t="s">
        <v>7</v>
      </c>
      <c r="D204" s="119">
        <v>46073</v>
      </c>
      <c r="E204" s="91"/>
      <c r="F204" s="91"/>
      <c r="G204" s="91"/>
      <c r="H204" s="91"/>
    </row>
    <row r="205" spans="1:8" s="57" customFormat="1" ht="16" x14ac:dyDescent="0.35">
      <c r="A205" s="289" t="s">
        <v>9</v>
      </c>
      <c r="B205" s="290" t="s">
        <v>239</v>
      </c>
      <c r="C205" s="289" t="s">
        <v>7</v>
      </c>
      <c r="D205" s="119">
        <v>45658</v>
      </c>
      <c r="E205" s="91"/>
      <c r="F205" s="91"/>
      <c r="G205" s="91"/>
      <c r="H205" s="91"/>
    </row>
    <row r="206" spans="1:8" s="57" customFormat="1" ht="16" x14ac:dyDescent="0.35">
      <c r="A206" s="289" t="s">
        <v>12</v>
      </c>
      <c r="B206" s="290" t="s">
        <v>240</v>
      </c>
      <c r="C206" s="289" t="s">
        <v>7</v>
      </c>
      <c r="D206" s="119">
        <v>46022</v>
      </c>
      <c r="E206" s="91"/>
      <c r="F206" s="91"/>
      <c r="G206" s="91"/>
      <c r="H206" s="91"/>
    </row>
    <row r="207" spans="1:8" s="57" customFormat="1" ht="30" customHeight="1" x14ac:dyDescent="0.35">
      <c r="A207" s="326" t="s">
        <v>241</v>
      </c>
      <c r="B207" s="326"/>
      <c r="C207" s="326"/>
      <c r="D207" s="326"/>
      <c r="E207" s="91"/>
      <c r="F207" s="91"/>
      <c r="G207" s="91"/>
      <c r="H207" s="91"/>
    </row>
    <row r="208" spans="1:8" s="57" customFormat="1" ht="31" x14ac:dyDescent="0.35">
      <c r="A208" s="289" t="s">
        <v>15</v>
      </c>
      <c r="B208" s="290" t="s">
        <v>451</v>
      </c>
      <c r="C208" s="289" t="s">
        <v>141</v>
      </c>
      <c r="D208" s="173">
        <f>'[4]Мира 122-2'!$D$26</f>
        <v>-454027.22857142845</v>
      </c>
      <c r="E208" s="91"/>
      <c r="F208" s="91"/>
      <c r="G208" s="91"/>
      <c r="H208" s="91"/>
    </row>
    <row r="209" spans="1:61" s="57" customFormat="1" ht="16" x14ac:dyDescent="0.35">
      <c r="A209" s="289" t="s">
        <v>18</v>
      </c>
      <c r="B209" s="290" t="s">
        <v>243</v>
      </c>
      <c r="C209" s="289" t="s">
        <v>141</v>
      </c>
      <c r="D209" s="174">
        <v>0</v>
      </c>
      <c r="E209" s="91"/>
      <c r="F209" s="91"/>
      <c r="G209" s="91"/>
      <c r="H209" s="91"/>
    </row>
    <row r="210" spans="1:61" s="57" customFormat="1" ht="16" x14ac:dyDescent="0.35">
      <c r="A210" s="289" t="s">
        <v>21</v>
      </c>
      <c r="B210" s="288" t="s">
        <v>514</v>
      </c>
      <c r="C210" s="287" t="s">
        <v>141</v>
      </c>
      <c r="D210" s="173">
        <f>[28]Лист_1!$F$80</f>
        <v>329098.64</v>
      </c>
      <c r="E210" s="91"/>
      <c r="F210" s="91"/>
      <c r="G210" s="91"/>
      <c r="H210" s="91"/>
    </row>
    <row r="211" spans="1:61" s="57" customFormat="1" x14ac:dyDescent="0.35">
      <c r="A211" s="317" t="s">
        <v>23</v>
      </c>
      <c r="B211" s="326" t="s">
        <v>245</v>
      </c>
      <c r="C211" s="316" t="s">
        <v>141</v>
      </c>
      <c r="D211" s="451">
        <f>[28]Лист_1!$L$80</f>
        <v>905398.52</v>
      </c>
      <c r="E211" s="91"/>
      <c r="F211" s="91"/>
      <c r="G211" s="91"/>
      <c r="H211" s="91"/>
    </row>
    <row r="212" spans="1:61" s="57" customFormat="1" x14ac:dyDescent="0.35">
      <c r="A212" s="317"/>
      <c r="B212" s="326"/>
      <c r="C212" s="316"/>
      <c r="D212" s="451"/>
      <c r="E212" s="91"/>
      <c r="F212" s="91"/>
      <c r="G212" s="91"/>
      <c r="H212" s="91"/>
    </row>
    <row r="213" spans="1:61" s="57" customFormat="1" x14ac:dyDescent="0.35">
      <c r="A213" s="289" t="s">
        <v>26</v>
      </c>
      <c r="B213" s="145" t="s">
        <v>282</v>
      </c>
      <c r="C213" s="144" t="s">
        <v>141</v>
      </c>
      <c r="D213" s="68">
        <f>[28]Лист_1!$L$82</f>
        <v>646713.22857142857</v>
      </c>
      <c r="E213" s="91"/>
      <c r="F213" s="91"/>
      <c r="G213" s="91"/>
      <c r="H213" s="91"/>
    </row>
    <row r="214" spans="1:61" s="57" customFormat="1" x14ac:dyDescent="0.35">
      <c r="A214" s="289" t="s">
        <v>29</v>
      </c>
      <c r="B214" s="145" t="s">
        <v>283</v>
      </c>
      <c r="C214" s="144" t="s">
        <v>141</v>
      </c>
      <c r="D214" s="68">
        <f>[28]Лист_1!$L$83</f>
        <v>258685.29142857142</v>
      </c>
      <c r="E214" s="91"/>
      <c r="F214" s="91"/>
      <c r="G214" s="91"/>
      <c r="H214" s="91"/>
    </row>
    <row r="215" spans="1:61" s="57" customFormat="1" x14ac:dyDescent="0.35">
      <c r="A215" s="316" t="s">
        <v>31</v>
      </c>
      <c r="B215" s="326" t="s">
        <v>246</v>
      </c>
      <c r="C215" s="316" t="s">
        <v>141</v>
      </c>
      <c r="D215" s="372">
        <f>[28]Лист_1!$AE$80+'[14]2025'!$Q$97</f>
        <v>1012043.95</v>
      </c>
      <c r="E215" s="91"/>
      <c r="F215" s="91"/>
      <c r="G215" s="91"/>
      <c r="H215" s="91"/>
    </row>
    <row r="216" spans="1:61" s="57" customFormat="1" ht="7.5" customHeight="1" x14ac:dyDescent="0.35">
      <c r="A216" s="316"/>
      <c r="B216" s="326"/>
      <c r="C216" s="316"/>
      <c r="D216" s="372"/>
      <c r="E216" s="91"/>
      <c r="F216" s="91"/>
      <c r="G216" s="91"/>
      <c r="H216" s="91"/>
    </row>
    <row r="217" spans="1:61" s="57" customFormat="1" hidden="1" x14ac:dyDescent="0.35">
      <c r="A217" s="316"/>
      <c r="B217" s="326"/>
      <c r="C217" s="316"/>
      <c r="D217" s="372"/>
      <c r="E217" s="91"/>
      <c r="F217" s="91"/>
      <c r="G217" s="91"/>
      <c r="H217" s="91"/>
    </row>
    <row r="218" spans="1:61" s="57" customFormat="1" x14ac:dyDescent="0.35">
      <c r="A218" s="317" t="s">
        <v>34</v>
      </c>
      <c r="B218" s="315" t="s">
        <v>247</v>
      </c>
      <c r="C218" s="317" t="s">
        <v>141</v>
      </c>
      <c r="D218" s="372">
        <f>D215</f>
        <v>1012043.95</v>
      </c>
      <c r="E218" s="91"/>
      <c r="F218" s="85">
        <f>D220+D223+D225+D230+D233</f>
        <v>756102.99857142859</v>
      </c>
      <c r="G218" s="91"/>
      <c r="H218" s="91"/>
      <c r="K218" s="58"/>
      <c r="BF218" s="57" t="s">
        <v>459</v>
      </c>
    </row>
    <row r="219" spans="1:61" s="57" customFormat="1" ht="2.5" customHeight="1" x14ac:dyDescent="0.35">
      <c r="A219" s="317"/>
      <c r="B219" s="315"/>
      <c r="C219" s="317"/>
      <c r="D219" s="372"/>
      <c r="E219" s="91"/>
      <c r="F219" s="91"/>
      <c r="G219" s="91"/>
      <c r="H219" s="91"/>
    </row>
    <row r="220" spans="1:61" s="57" customFormat="1" x14ac:dyDescent="0.35">
      <c r="A220" s="289" t="s">
        <v>36</v>
      </c>
      <c r="B220" s="290" t="s">
        <v>330</v>
      </c>
      <c r="C220" s="289" t="s">
        <v>141</v>
      </c>
      <c r="D220" s="85">
        <f>[28]Лист_1!$Y$86</f>
        <v>92477.97</v>
      </c>
      <c r="E220" s="91"/>
      <c r="F220" s="91"/>
      <c r="G220" s="91"/>
      <c r="H220" s="91"/>
      <c r="O220" s="58"/>
    </row>
    <row r="221" spans="1:61" s="57" customFormat="1" x14ac:dyDescent="0.35">
      <c r="A221" s="289" t="s">
        <v>38</v>
      </c>
      <c r="B221" s="290" t="s">
        <v>289</v>
      </c>
      <c r="C221" s="289" t="s">
        <v>141</v>
      </c>
      <c r="D221" s="286">
        <f>[13]Лист_1!$AU$415</f>
        <v>0</v>
      </c>
      <c r="E221" s="91"/>
      <c r="F221" s="91"/>
      <c r="G221" s="91"/>
      <c r="H221" s="91"/>
      <c r="BF221" s="58" t="e">
        <f>(D220+D221+D223+D225+#REF!+#REF!+#REF!+#REF!+#REF!)+D230</f>
        <v>#REF!</v>
      </c>
      <c r="BG221" s="58" t="e">
        <f>BF221-D218</f>
        <v>#REF!</v>
      </c>
    </row>
    <row r="222" spans="1:61" s="57" customFormat="1" x14ac:dyDescent="0.35">
      <c r="A222" s="175" t="s">
        <v>40</v>
      </c>
      <c r="B222" s="290" t="s">
        <v>248</v>
      </c>
      <c r="C222" s="289" t="s">
        <v>141</v>
      </c>
      <c r="D222" s="286">
        <v>0</v>
      </c>
      <c r="E222" s="91"/>
      <c r="F222" s="91"/>
      <c r="G222" s="91"/>
      <c r="H222" s="91"/>
    </row>
    <row r="223" spans="1:61" s="57" customFormat="1" x14ac:dyDescent="0.35">
      <c r="A223" s="175" t="s">
        <v>42</v>
      </c>
      <c r="B223" s="290" t="s">
        <v>457</v>
      </c>
      <c r="C223" s="289" t="str">
        <f>C222</f>
        <v>руб.</v>
      </c>
      <c r="D223" s="68">
        <f>'[14]2025'!$Q$97</f>
        <v>51300</v>
      </c>
      <c r="E223" s="91"/>
      <c r="F223" s="91"/>
      <c r="G223" s="452"/>
      <c r="H223" s="91"/>
    </row>
    <row r="224" spans="1:61" s="57" customFormat="1" x14ac:dyDescent="0.35">
      <c r="A224" s="175" t="s">
        <v>44</v>
      </c>
      <c r="B224" s="315" t="s">
        <v>435</v>
      </c>
      <c r="C224" s="315"/>
      <c r="D224" s="315"/>
      <c r="E224" s="91"/>
      <c r="F224" s="91"/>
      <c r="G224" s="91"/>
      <c r="H224" s="91"/>
      <c r="BI224" s="57" t="s">
        <v>452</v>
      </c>
    </row>
    <row r="225" spans="1:61" s="57" customFormat="1" x14ac:dyDescent="0.35">
      <c r="A225" s="175" t="s">
        <v>458</v>
      </c>
      <c r="B225" s="146" t="s">
        <v>475</v>
      </c>
      <c r="C225" s="289" t="str">
        <f>C222</f>
        <v>руб.</v>
      </c>
      <c r="D225" s="286">
        <f>[28]Лист_1!$Y$82</f>
        <v>619390.87857142859</v>
      </c>
      <c r="E225" s="91"/>
      <c r="F225" s="85">
        <f>D226+D227+D228+D229</f>
        <v>906995.02342857141</v>
      </c>
      <c r="G225" s="85"/>
      <c r="H225" s="91"/>
      <c r="I225" s="57">
        <v>873255.59999999986</v>
      </c>
      <c r="K225" s="57" t="s">
        <v>516</v>
      </c>
      <c r="BI225" s="57" t="s">
        <v>453</v>
      </c>
    </row>
    <row r="226" spans="1:61" s="57" customFormat="1" ht="31" x14ac:dyDescent="0.35">
      <c r="A226" s="175" t="s">
        <v>464</v>
      </c>
      <c r="B226" s="146" t="s">
        <v>462</v>
      </c>
      <c r="C226" s="289" t="str">
        <f>C225</f>
        <v>руб.</v>
      </c>
      <c r="D226" s="286">
        <f>M111</f>
        <v>475716.38399999996</v>
      </c>
      <c r="E226" s="91"/>
      <c r="F226" s="85">
        <f>F225-D225</f>
        <v>287604.14485714282</v>
      </c>
      <c r="G226" s="85"/>
      <c r="H226" s="91"/>
      <c r="I226" s="58">
        <f>[28]Лист_1!$L$78</f>
        <v>872046</v>
      </c>
    </row>
    <row r="227" spans="1:61" s="57" customFormat="1" ht="31" x14ac:dyDescent="0.35">
      <c r="A227" s="175" t="s">
        <v>465</v>
      </c>
      <c r="B227" s="146" t="s">
        <v>456</v>
      </c>
      <c r="C227" s="289" t="str">
        <f>C226</f>
        <v>руб.</v>
      </c>
      <c r="D227" s="286">
        <f>K88</f>
        <v>11643.407999999999</v>
      </c>
      <c r="E227" s="91"/>
      <c r="F227" s="91"/>
      <c r="G227" s="91"/>
      <c r="H227" s="91"/>
      <c r="BI227" s="57" t="s">
        <v>454</v>
      </c>
    </row>
    <row r="228" spans="1:61" s="57" customFormat="1" ht="46.5" x14ac:dyDescent="0.35">
      <c r="A228" s="175" t="s">
        <v>466</v>
      </c>
      <c r="B228" s="146" t="s">
        <v>463</v>
      </c>
      <c r="C228" s="289" t="str">
        <f>C227</f>
        <v>руб.</v>
      </c>
      <c r="D228" s="286">
        <f>H114</f>
        <v>171878.88</v>
      </c>
      <c r="E228" s="91"/>
      <c r="F228" s="91"/>
      <c r="G228" s="91"/>
      <c r="H228" s="91"/>
      <c r="BF228" s="58">
        <f>D226+D227+D228+D229</f>
        <v>906995.02342857141</v>
      </c>
      <c r="BG228" s="57">
        <v>4120303.1052187206</v>
      </c>
      <c r="BI228" s="57" t="s">
        <v>455</v>
      </c>
    </row>
    <row r="229" spans="1:61" s="57" customFormat="1" x14ac:dyDescent="0.35">
      <c r="A229" s="175" t="s">
        <v>467</v>
      </c>
      <c r="B229" s="146" t="s">
        <v>460</v>
      </c>
      <c r="C229" s="289" t="str">
        <f>C228</f>
        <v>руб.</v>
      </c>
      <c r="D229" s="286">
        <f>[28]Лист_1!$Y$83</f>
        <v>247756.35142857142</v>
      </c>
      <c r="E229" s="91"/>
      <c r="F229" s="91"/>
      <c r="G229" s="91"/>
      <c r="H229" s="91"/>
      <c r="BF229" s="58">
        <f>BF228-D225</f>
        <v>287604.14485714282</v>
      </c>
      <c r="BG229" s="58">
        <f>BG228-D225</f>
        <v>3500912.2266472923</v>
      </c>
    </row>
    <row r="230" spans="1:61" s="57" customFormat="1" ht="29" customHeight="1" x14ac:dyDescent="0.35">
      <c r="A230" s="175" t="s">
        <v>46</v>
      </c>
      <c r="B230" s="290" t="s">
        <v>479</v>
      </c>
      <c r="C230" s="289" t="s">
        <v>141</v>
      </c>
      <c r="D230" s="286">
        <f>[28]Лист_1!$AD$80</f>
        <v>-8184.6</v>
      </c>
      <c r="E230" s="91"/>
      <c r="F230" s="91"/>
      <c r="G230" s="91"/>
      <c r="H230" s="91"/>
    </row>
    <row r="231" spans="1:61" s="57" customFormat="1" x14ac:dyDescent="0.35">
      <c r="A231" s="289" t="s">
        <v>49</v>
      </c>
      <c r="B231" s="290" t="s">
        <v>461</v>
      </c>
      <c r="C231" s="289" t="s">
        <v>141</v>
      </c>
      <c r="D231" s="286">
        <f>[28]Лист_1!$AG$80</f>
        <v>372522.27999999997</v>
      </c>
      <c r="E231" s="91"/>
      <c r="F231" s="91"/>
      <c r="G231" s="91"/>
      <c r="H231" s="91"/>
    </row>
    <row r="232" spans="1:61" s="57" customFormat="1" ht="31" x14ac:dyDescent="0.35">
      <c r="A232" s="289" t="s">
        <v>51</v>
      </c>
      <c r="B232" s="290" t="s">
        <v>301</v>
      </c>
      <c r="C232" s="289" t="s">
        <v>141</v>
      </c>
      <c r="D232" s="68">
        <f>'[4]Мира 122-2'!$D$55</f>
        <v>-722129.97804285714</v>
      </c>
      <c r="E232" s="91"/>
      <c r="F232" s="91"/>
      <c r="G232" s="91"/>
      <c r="H232" s="91"/>
    </row>
    <row r="233" spans="1:61" s="57" customFormat="1" x14ac:dyDescent="0.35">
      <c r="A233" s="289" t="s">
        <v>53</v>
      </c>
      <c r="B233" s="290" t="s">
        <v>515</v>
      </c>
      <c r="C233" s="289" t="s">
        <v>141</v>
      </c>
      <c r="D233" s="286">
        <f>[28]Лист_1!$AA$80</f>
        <v>1118.75</v>
      </c>
      <c r="E233" s="91"/>
      <c r="F233" s="91"/>
      <c r="G233" s="91"/>
      <c r="H233" s="91"/>
    </row>
    <row r="234" spans="1:61" s="57" customFormat="1" ht="16" hidden="1" x14ac:dyDescent="0.35">
      <c r="A234" s="289" t="s">
        <v>51</v>
      </c>
      <c r="B234" s="288" t="s">
        <v>251</v>
      </c>
      <c r="C234" s="287" t="s">
        <v>141</v>
      </c>
      <c r="D234" s="453">
        <v>7791.29</v>
      </c>
      <c r="E234" s="91"/>
      <c r="F234" s="91"/>
      <c r="G234" s="91"/>
      <c r="H234" s="91"/>
    </row>
    <row r="235" spans="1:61" s="57" customFormat="1" hidden="1" x14ac:dyDescent="0.35">
      <c r="A235" s="106"/>
      <c r="B235" s="91"/>
      <c r="C235" s="91"/>
      <c r="D235" s="91"/>
      <c r="E235" s="91"/>
      <c r="F235" s="91"/>
      <c r="G235" s="91"/>
      <c r="H235" s="91"/>
    </row>
    <row r="236" spans="1:61" s="57" customFormat="1" hidden="1" x14ac:dyDescent="0.35">
      <c r="A236" s="106"/>
      <c r="B236" s="91"/>
      <c r="C236" s="91"/>
      <c r="D236" s="91"/>
      <c r="E236" s="91"/>
      <c r="F236" s="91"/>
      <c r="G236" s="91"/>
      <c r="H236" s="91"/>
    </row>
    <row r="237" spans="1:61" s="64" customFormat="1" ht="25.5" customHeight="1" x14ac:dyDescent="0.35">
      <c r="A237" s="316" t="s">
        <v>253</v>
      </c>
      <c r="B237" s="316"/>
      <c r="C237" s="316"/>
      <c r="D237" s="316"/>
      <c r="E237" s="91"/>
      <c r="F237" s="91"/>
      <c r="G237" s="91"/>
      <c r="H237" s="91"/>
    </row>
    <row r="238" spans="1:61" s="64" customFormat="1" hidden="1" x14ac:dyDescent="0.35">
      <c r="A238" s="454"/>
      <c r="B238" s="454"/>
      <c r="C238" s="454"/>
      <c r="D238" s="454"/>
      <c r="E238" s="91"/>
      <c r="F238" s="91"/>
      <c r="G238" s="91"/>
      <c r="H238" s="91"/>
    </row>
    <row r="239" spans="1:61" s="64" customFormat="1" x14ac:dyDescent="0.35">
      <c r="A239" s="289">
        <v>1</v>
      </c>
      <c r="B239" s="290" t="s">
        <v>254</v>
      </c>
      <c r="C239" s="289" t="s">
        <v>33</v>
      </c>
      <c r="D239" s="91">
        <v>1</v>
      </c>
      <c r="E239" s="91"/>
      <c r="F239" s="91"/>
      <c r="G239" s="91"/>
      <c r="H239" s="91"/>
    </row>
    <row r="240" spans="1:61" s="64" customFormat="1" x14ac:dyDescent="0.35">
      <c r="A240" s="289"/>
      <c r="B240" s="290" t="s">
        <v>442</v>
      </c>
      <c r="C240" s="289"/>
      <c r="D240" s="85">
        <v>2600</v>
      </c>
      <c r="E240" s="91"/>
      <c r="F240" s="91"/>
      <c r="G240" s="91"/>
      <c r="H240" s="91"/>
    </row>
    <row r="241" spans="1:8" s="64" customFormat="1" x14ac:dyDescent="0.35">
      <c r="A241" s="289">
        <v>2</v>
      </c>
      <c r="B241" s="290" t="s">
        <v>255</v>
      </c>
      <c r="C241" s="289" t="s">
        <v>33</v>
      </c>
      <c r="D241" s="91">
        <v>0</v>
      </c>
      <c r="E241" s="91"/>
      <c r="F241" s="91"/>
      <c r="G241" s="91"/>
      <c r="H241" s="91"/>
    </row>
    <row r="242" spans="1:8" s="64" customFormat="1" ht="31" x14ac:dyDescent="0.35">
      <c r="A242" s="289">
        <v>3</v>
      </c>
      <c r="B242" s="290" t="s">
        <v>256</v>
      </c>
      <c r="C242" s="289" t="s">
        <v>141</v>
      </c>
      <c r="D242" s="91">
        <v>0</v>
      </c>
      <c r="E242" s="91"/>
      <c r="F242" s="91"/>
      <c r="G242" s="91"/>
      <c r="H242" s="91"/>
    </row>
    <row r="243" spans="1:8" x14ac:dyDescent="0.35">
      <c r="F243" s="57"/>
      <c r="G243" s="57"/>
      <c r="H243" s="57"/>
    </row>
    <row r="244" spans="1:8" x14ac:dyDescent="0.35">
      <c r="F244" s="57"/>
      <c r="G244" s="57"/>
      <c r="H244" s="57"/>
    </row>
    <row r="245" spans="1:8" x14ac:dyDescent="0.35">
      <c r="F245" s="57"/>
      <c r="G245" s="57"/>
      <c r="H245" s="57"/>
    </row>
    <row r="246" spans="1:8" x14ac:dyDescent="0.35">
      <c r="F246" s="57"/>
      <c r="G246" s="57"/>
      <c r="H246" s="57"/>
    </row>
    <row r="247" spans="1:8" x14ac:dyDescent="0.35">
      <c r="F247" s="57"/>
      <c r="G247" s="57"/>
      <c r="H247" s="57"/>
    </row>
    <row r="248" spans="1:8" x14ac:dyDescent="0.35">
      <c r="F248" s="57"/>
      <c r="G248" s="57"/>
      <c r="H248" s="57"/>
    </row>
    <row r="249" spans="1:8" x14ac:dyDescent="0.35">
      <c r="F249" s="57"/>
      <c r="G249" s="57"/>
      <c r="H249" s="57"/>
    </row>
    <row r="250" spans="1:8" x14ac:dyDescent="0.35">
      <c r="F250" s="57"/>
      <c r="G250" s="57"/>
      <c r="H250" s="57"/>
    </row>
    <row r="251" spans="1:8" x14ac:dyDescent="0.35">
      <c r="F251" s="57"/>
      <c r="G251" s="57"/>
      <c r="H251" s="57"/>
    </row>
  </sheetData>
  <mergeCells count="101">
    <mergeCell ref="A33:D33"/>
    <mergeCell ref="A1:D1"/>
    <mergeCell ref="A2:D2"/>
    <mergeCell ref="A3:D3"/>
    <mergeCell ref="A7:D7"/>
    <mergeCell ref="B4:B5"/>
    <mergeCell ref="C4:C5"/>
    <mergeCell ref="D4:D5"/>
    <mergeCell ref="A10:D10"/>
    <mergeCell ref="A12:D12"/>
    <mergeCell ref="A54:D54"/>
    <mergeCell ref="A38:D38"/>
    <mergeCell ref="B39:B40"/>
    <mergeCell ref="C39:C40"/>
    <mergeCell ref="D39:D40"/>
    <mergeCell ref="A42:D42"/>
    <mergeCell ref="A44:D44"/>
    <mergeCell ref="A47:D47"/>
    <mergeCell ref="A49:D49"/>
    <mergeCell ref="A52:D52"/>
    <mergeCell ref="D120:H120"/>
    <mergeCell ref="A77:D77"/>
    <mergeCell ref="A79:D79"/>
    <mergeCell ref="A81:D81"/>
    <mergeCell ref="A83:D83"/>
    <mergeCell ref="A85:H85"/>
    <mergeCell ref="B86:B87"/>
    <mergeCell ref="C86:C87"/>
    <mergeCell ref="B118:B119"/>
    <mergeCell ref="C118:C119"/>
    <mergeCell ref="D118:H119"/>
    <mergeCell ref="A57:D57"/>
    <mergeCell ref="A61:D61"/>
    <mergeCell ref="A68:D68"/>
    <mergeCell ref="A75:D75"/>
    <mergeCell ref="D125:H125"/>
    <mergeCell ref="D121:H121"/>
    <mergeCell ref="D122:H122"/>
    <mergeCell ref="D123:H123"/>
    <mergeCell ref="D124:H124"/>
    <mergeCell ref="B126:B127"/>
    <mergeCell ref="C126:C127"/>
    <mergeCell ref="D126:H126"/>
    <mergeCell ref="D127:H127"/>
    <mergeCell ref="D128:H128"/>
    <mergeCell ref="D129:H129"/>
    <mergeCell ref="D130:H130"/>
    <mergeCell ref="D131:H131"/>
    <mergeCell ref="B132:B133"/>
    <mergeCell ref="C132:C133"/>
    <mergeCell ref="D132:H133"/>
    <mergeCell ref="D134:H134"/>
    <mergeCell ref="D135:H135"/>
    <mergeCell ref="D136:H136"/>
    <mergeCell ref="D142:H142"/>
    <mergeCell ref="B143:H143"/>
    <mergeCell ref="D144:H144"/>
    <mergeCell ref="D145:H145"/>
    <mergeCell ref="D146:H146"/>
    <mergeCell ref="D137:H137"/>
    <mergeCell ref="D138:H138"/>
    <mergeCell ref="D139:H139"/>
    <mergeCell ref="D140:H140"/>
    <mergeCell ref="D141:H141"/>
    <mergeCell ref="D154:H154"/>
    <mergeCell ref="D147:H147"/>
    <mergeCell ref="D148:H148"/>
    <mergeCell ref="D149:H149"/>
    <mergeCell ref="D150:H150"/>
    <mergeCell ref="D151:H151"/>
    <mergeCell ref="A156:D156"/>
    <mergeCell ref="B158:B159"/>
    <mergeCell ref="C158:C159"/>
    <mergeCell ref="D158:D159"/>
    <mergeCell ref="A186:D186"/>
    <mergeCell ref="A180:A181"/>
    <mergeCell ref="B180:B181"/>
    <mergeCell ref="C180:C181"/>
    <mergeCell ref="D180:D181"/>
    <mergeCell ref="A207:D207"/>
    <mergeCell ref="A211:A212"/>
    <mergeCell ref="B211:B212"/>
    <mergeCell ref="C211:C212"/>
    <mergeCell ref="D211:D212"/>
    <mergeCell ref="B188:B189"/>
    <mergeCell ref="C188:C189"/>
    <mergeCell ref="D188:D189"/>
    <mergeCell ref="A201:D201"/>
    <mergeCell ref="B202:B203"/>
    <mergeCell ref="C202:C203"/>
    <mergeCell ref="D202:D203"/>
    <mergeCell ref="B224:D224"/>
    <mergeCell ref="A237:D237"/>
    <mergeCell ref="A215:A217"/>
    <mergeCell ref="B215:B217"/>
    <mergeCell ref="C215:C217"/>
    <mergeCell ref="D215:D217"/>
    <mergeCell ref="A218:A219"/>
    <mergeCell ref="B218:B219"/>
    <mergeCell ref="C218:C219"/>
    <mergeCell ref="D218:D219"/>
  </mergeCells>
  <dataValidations count="2">
    <dataValidation type="list" allowBlank="1" showInputMessage="1" showErrorMessage="1" sqref="B88:B116" xr:uid="{6775174E-E0F9-422F-A374-2D8CFE27F41B}">
      <formula1>Справочник_работ_и_услуг</formula1>
    </dataValidation>
    <dataValidation type="list" allowBlank="1" showInputMessage="1" showErrorMessage="1" sqref="B104" xr:uid="{763806B3-D19B-4632-9E42-09FA5F3E1D7E}">
      <formula1>#REF!</formula1>
    </dataValidation>
  </dataValidations>
  <pageMargins left="0.25" right="0.25" top="0.75" bottom="0.75" header="0.3" footer="0.3"/>
  <pageSetup paperSize="9" scale="80" fitToHeight="0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8965C-7058-462E-BF1F-8A7F050F8090}">
  <dimension ref="A1:BI278"/>
  <sheetViews>
    <sheetView topLeftCell="A260" zoomScale="55" zoomScaleNormal="55" workbookViewId="0">
      <selection activeCell="D278" sqref="A1:H278"/>
    </sheetView>
  </sheetViews>
  <sheetFormatPr defaultRowHeight="15.5" x14ac:dyDescent="0.35"/>
  <cols>
    <col min="1" max="1" width="16.1796875" style="9" customWidth="1"/>
    <col min="2" max="2" width="63.1796875" style="8" customWidth="1"/>
    <col min="3" max="3" width="8.7265625" style="8"/>
    <col min="4" max="4" width="34.1796875" style="8" customWidth="1"/>
    <col min="5" max="5" width="0" style="8" hidden="1" customWidth="1"/>
    <col min="6" max="6" width="12.81640625" style="8" hidden="1" customWidth="1"/>
    <col min="7" max="7" width="12.26953125" style="8" hidden="1" customWidth="1"/>
    <col min="8" max="8" width="11.36328125" style="8" hidden="1" customWidth="1"/>
    <col min="9" max="12" width="0" style="8" hidden="1" customWidth="1"/>
    <col min="13" max="13" width="9.54296875" style="8" hidden="1" customWidth="1"/>
    <col min="14" max="16" width="0" style="8" hidden="1" customWidth="1"/>
    <col min="17" max="16384" width="8.7265625" style="8"/>
  </cols>
  <sheetData>
    <row r="1" spans="1:8" customFormat="1" ht="63.75" customHeight="1" x14ac:dyDescent="0.35">
      <c r="A1" s="379" t="s">
        <v>336</v>
      </c>
      <c r="B1" s="380"/>
      <c r="C1" s="380"/>
      <c r="D1" s="380"/>
      <c r="E1" s="62"/>
      <c r="F1" s="62"/>
      <c r="G1" s="62"/>
      <c r="H1" s="62"/>
    </row>
    <row r="2" spans="1:8" x14ac:dyDescent="0.35">
      <c r="A2" s="313" t="s">
        <v>337</v>
      </c>
      <c r="B2" s="313"/>
      <c r="C2" s="313"/>
      <c r="D2" s="313"/>
      <c r="E2" s="57"/>
      <c r="F2" s="57"/>
      <c r="G2" s="57"/>
      <c r="H2" s="57"/>
    </row>
    <row r="3" spans="1:8" x14ac:dyDescent="0.35">
      <c r="A3" s="381" t="s">
        <v>504</v>
      </c>
      <c r="B3" s="381"/>
      <c r="C3" s="381"/>
      <c r="D3" s="381"/>
      <c r="E3" s="57"/>
      <c r="F3" s="57"/>
      <c r="G3" s="57"/>
      <c r="H3" s="57"/>
    </row>
    <row r="4" spans="1:8" ht="43" customHeight="1" x14ac:dyDescent="0.35">
      <c r="A4" s="287" t="s">
        <v>0</v>
      </c>
      <c r="B4" s="316" t="s">
        <v>2</v>
      </c>
      <c r="C4" s="316" t="s">
        <v>3</v>
      </c>
      <c r="D4" s="316" t="s">
        <v>4</v>
      </c>
      <c r="E4" s="57"/>
      <c r="F4" s="57"/>
      <c r="G4" s="57"/>
      <c r="H4" s="57"/>
    </row>
    <row r="5" spans="1:8" x14ac:dyDescent="0.35">
      <c r="A5" s="287" t="s">
        <v>1</v>
      </c>
      <c r="B5" s="316"/>
      <c r="C5" s="316"/>
      <c r="D5" s="316"/>
      <c r="E5" s="57"/>
      <c r="F5" s="57"/>
      <c r="G5" s="57"/>
      <c r="H5" s="57"/>
    </row>
    <row r="6" spans="1:8" x14ac:dyDescent="0.35">
      <c r="A6" s="289" t="s">
        <v>5</v>
      </c>
      <c r="B6" s="290" t="s">
        <v>6</v>
      </c>
      <c r="C6" s="289" t="s">
        <v>7</v>
      </c>
      <c r="D6" s="455">
        <v>46073</v>
      </c>
      <c r="E6" s="57"/>
      <c r="F6" s="57"/>
      <c r="G6" s="57"/>
      <c r="H6" s="57"/>
    </row>
    <row r="7" spans="1:8" ht="21" customHeight="1" x14ac:dyDescent="0.35">
      <c r="A7" s="315" t="s">
        <v>8</v>
      </c>
      <c r="B7" s="315"/>
      <c r="C7" s="315"/>
      <c r="D7" s="315"/>
      <c r="E7" s="57"/>
      <c r="F7" s="57"/>
      <c r="G7" s="57"/>
      <c r="H7" s="57"/>
    </row>
    <row r="8" spans="1:8" ht="35" customHeight="1" x14ac:dyDescent="0.35">
      <c r="A8" s="289" t="s">
        <v>9</v>
      </c>
      <c r="B8" s="290" t="s">
        <v>10</v>
      </c>
      <c r="C8" s="289" t="s">
        <v>7</v>
      </c>
      <c r="D8" s="256" t="s">
        <v>292</v>
      </c>
      <c r="E8" s="57"/>
      <c r="F8" s="57"/>
      <c r="G8" s="57"/>
      <c r="H8" s="57"/>
    </row>
    <row r="9" spans="1:8" x14ac:dyDescent="0.35">
      <c r="A9" s="289" t="s">
        <v>12</v>
      </c>
      <c r="B9" s="290" t="s">
        <v>13</v>
      </c>
      <c r="C9" s="289" t="s">
        <v>7</v>
      </c>
      <c r="D9" s="293"/>
      <c r="E9" s="57"/>
      <c r="F9" s="57"/>
      <c r="G9" s="57"/>
      <c r="H9" s="57"/>
    </row>
    <row r="10" spans="1:8" ht="15" customHeight="1" x14ac:dyDescent="0.35">
      <c r="A10" s="315" t="s">
        <v>14</v>
      </c>
      <c r="B10" s="315"/>
      <c r="C10" s="315"/>
      <c r="D10" s="315"/>
      <c r="E10" s="57"/>
      <c r="F10" s="57"/>
      <c r="G10" s="57"/>
      <c r="H10" s="57"/>
    </row>
    <row r="11" spans="1:8" x14ac:dyDescent="0.35">
      <c r="A11" s="289" t="s">
        <v>15</v>
      </c>
      <c r="B11" s="290" t="s">
        <v>16</v>
      </c>
      <c r="C11" s="289" t="s">
        <v>7</v>
      </c>
      <c r="D11" s="256" t="s">
        <v>257</v>
      </c>
      <c r="E11" s="57"/>
      <c r="F11" s="57"/>
      <c r="G11" s="57"/>
      <c r="H11" s="57"/>
    </row>
    <row r="12" spans="1:8" ht="13" customHeight="1" x14ac:dyDescent="0.35">
      <c r="A12" s="315" t="s">
        <v>17</v>
      </c>
      <c r="B12" s="315"/>
      <c r="C12" s="315"/>
      <c r="D12" s="315"/>
      <c r="E12" s="57"/>
      <c r="F12" s="57"/>
      <c r="G12" s="57"/>
      <c r="H12" s="57"/>
    </row>
    <row r="13" spans="1:8" ht="30" x14ac:dyDescent="0.35">
      <c r="A13" s="289" t="s">
        <v>18</v>
      </c>
      <c r="B13" s="290" t="s">
        <v>19</v>
      </c>
      <c r="C13" s="289" t="s">
        <v>7</v>
      </c>
      <c r="D13" s="259" t="s">
        <v>505</v>
      </c>
      <c r="E13" s="57"/>
      <c r="F13" s="57"/>
      <c r="G13" s="57"/>
      <c r="H13" s="57"/>
    </row>
    <row r="14" spans="1:8" x14ac:dyDescent="0.35">
      <c r="A14" s="289" t="s">
        <v>21</v>
      </c>
      <c r="B14" s="290" t="s">
        <v>22</v>
      </c>
      <c r="C14" s="289" t="s">
        <v>7</v>
      </c>
      <c r="D14" s="256">
        <v>1986</v>
      </c>
      <c r="E14" s="57"/>
      <c r="F14" s="57"/>
      <c r="G14" s="57"/>
      <c r="H14" s="57"/>
    </row>
    <row r="15" spans="1:8" x14ac:dyDescent="0.35">
      <c r="A15" s="289" t="s">
        <v>23</v>
      </c>
      <c r="B15" s="290" t="s">
        <v>24</v>
      </c>
      <c r="C15" s="289" t="s">
        <v>7</v>
      </c>
      <c r="D15" s="256" t="s">
        <v>25</v>
      </c>
      <c r="E15" s="57"/>
      <c r="F15" s="57"/>
      <c r="G15" s="57"/>
      <c r="H15" s="57"/>
    </row>
    <row r="16" spans="1:8" x14ac:dyDescent="0.35">
      <c r="A16" s="289" t="s">
        <v>26</v>
      </c>
      <c r="B16" s="290" t="s">
        <v>27</v>
      </c>
      <c r="C16" s="289" t="s">
        <v>7</v>
      </c>
      <c r="D16" s="256" t="s">
        <v>28</v>
      </c>
      <c r="E16" s="57"/>
      <c r="F16" s="57"/>
      <c r="G16" s="57"/>
      <c r="H16" s="57"/>
    </row>
    <row r="17" spans="1:8" x14ac:dyDescent="0.35">
      <c r="A17" s="289" t="s">
        <v>29</v>
      </c>
      <c r="B17" s="290" t="s">
        <v>30</v>
      </c>
      <c r="C17" s="289" t="s">
        <v>7</v>
      </c>
      <c r="D17" s="256">
        <v>9</v>
      </c>
      <c r="E17" s="57"/>
      <c r="F17" s="57"/>
      <c r="G17" s="57"/>
      <c r="H17" s="57"/>
    </row>
    <row r="18" spans="1:8" x14ac:dyDescent="0.35">
      <c r="A18" s="289" t="s">
        <v>31</v>
      </c>
      <c r="B18" s="95" t="s">
        <v>32</v>
      </c>
      <c r="C18" s="289" t="s">
        <v>33</v>
      </c>
      <c r="D18" s="256">
        <v>9</v>
      </c>
      <c r="E18" s="57"/>
      <c r="F18" s="57"/>
      <c r="G18" s="57"/>
      <c r="H18" s="57"/>
    </row>
    <row r="19" spans="1:8" x14ac:dyDescent="0.35">
      <c r="A19" s="289" t="s">
        <v>34</v>
      </c>
      <c r="B19" s="95" t="s">
        <v>35</v>
      </c>
      <c r="C19" s="289" t="s">
        <v>33</v>
      </c>
      <c r="D19" s="256">
        <v>1</v>
      </c>
      <c r="E19" s="57"/>
      <c r="F19" s="57"/>
      <c r="G19" s="57"/>
      <c r="H19" s="57"/>
    </row>
    <row r="20" spans="1:8" x14ac:dyDescent="0.35">
      <c r="A20" s="289" t="s">
        <v>36</v>
      </c>
      <c r="B20" s="290" t="s">
        <v>37</v>
      </c>
      <c r="C20" s="289" t="s">
        <v>33</v>
      </c>
      <c r="D20" s="256">
        <v>1</v>
      </c>
      <c r="E20" s="57"/>
      <c r="F20" s="57"/>
      <c r="G20" s="57"/>
      <c r="H20" s="57"/>
    </row>
    <row r="21" spans="1:8" x14ac:dyDescent="0.35">
      <c r="A21" s="289" t="s">
        <v>38</v>
      </c>
      <c r="B21" s="290" t="s">
        <v>39</v>
      </c>
      <c r="C21" s="289" t="s">
        <v>33</v>
      </c>
      <c r="D21" s="256">
        <v>1</v>
      </c>
      <c r="E21" s="57"/>
      <c r="F21" s="57"/>
      <c r="G21" s="57"/>
      <c r="H21" s="57"/>
    </row>
    <row r="22" spans="1:8" x14ac:dyDescent="0.35">
      <c r="A22" s="289" t="s">
        <v>40</v>
      </c>
      <c r="B22" s="290" t="s">
        <v>41</v>
      </c>
      <c r="C22" s="289" t="s">
        <v>7</v>
      </c>
      <c r="D22" s="256"/>
      <c r="E22" s="57"/>
      <c r="F22" s="57"/>
      <c r="G22" s="57"/>
      <c r="H22" s="57"/>
    </row>
    <row r="23" spans="1:8" x14ac:dyDescent="0.35">
      <c r="A23" s="289" t="s">
        <v>42</v>
      </c>
      <c r="B23" s="95" t="s">
        <v>43</v>
      </c>
      <c r="C23" s="289" t="s">
        <v>33</v>
      </c>
      <c r="D23" s="256">
        <v>32</v>
      </c>
      <c r="E23" s="57"/>
      <c r="F23" s="57"/>
      <c r="G23" s="57"/>
      <c r="H23" s="57"/>
    </row>
    <row r="24" spans="1:8" x14ac:dyDescent="0.35">
      <c r="A24" s="289" t="s">
        <v>44</v>
      </c>
      <c r="B24" s="95" t="s">
        <v>45</v>
      </c>
      <c r="C24" s="289" t="s">
        <v>33</v>
      </c>
      <c r="D24" s="256">
        <v>2</v>
      </c>
      <c r="E24" s="57"/>
      <c r="F24" s="57">
        <v>2307</v>
      </c>
      <c r="G24" s="57" t="s">
        <v>498</v>
      </c>
      <c r="H24" s="57"/>
    </row>
    <row r="25" spans="1:8" x14ac:dyDescent="0.35">
      <c r="A25" s="289" t="s">
        <v>46</v>
      </c>
      <c r="B25" s="290" t="s">
        <v>47</v>
      </c>
      <c r="C25" s="289" t="s">
        <v>48</v>
      </c>
      <c r="D25" s="256">
        <v>2829.5</v>
      </c>
      <c r="E25" s="57">
        <v>2307</v>
      </c>
      <c r="F25" s="57"/>
      <c r="G25" s="57"/>
      <c r="H25" s="57"/>
    </row>
    <row r="26" spans="1:8" x14ac:dyDescent="0.35">
      <c r="A26" s="289" t="s">
        <v>49</v>
      </c>
      <c r="B26" s="95" t="s">
        <v>50</v>
      </c>
      <c r="C26" s="289" t="s">
        <v>48</v>
      </c>
      <c r="D26" s="256">
        <v>1845.9</v>
      </c>
      <c r="E26" s="57">
        <f>D26+D27</f>
        <v>2384.4</v>
      </c>
      <c r="F26" s="57">
        <f>D26+D27</f>
        <v>2384.4</v>
      </c>
      <c r="G26" s="57"/>
      <c r="H26" s="57"/>
    </row>
    <row r="27" spans="1:8" x14ac:dyDescent="0.35">
      <c r="A27" s="289" t="s">
        <v>51</v>
      </c>
      <c r="B27" s="95" t="s">
        <v>52</v>
      </c>
      <c r="C27" s="289" t="s">
        <v>48</v>
      </c>
      <c r="D27" s="456">
        <f>265.1+273.4</f>
        <v>538.5</v>
      </c>
      <c r="E27" s="57">
        <f>E25-E26</f>
        <v>-77.400000000000091</v>
      </c>
      <c r="F27" s="57" t="s">
        <v>499</v>
      </c>
      <c r="G27" s="57"/>
      <c r="H27" s="57"/>
    </row>
    <row r="28" spans="1:8" ht="31" x14ac:dyDescent="0.35">
      <c r="A28" s="289" t="s">
        <v>53</v>
      </c>
      <c r="B28" s="95" t="s">
        <v>54</v>
      </c>
      <c r="C28" s="289" t="s">
        <v>48</v>
      </c>
      <c r="D28" s="256">
        <v>165.9</v>
      </c>
      <c r="E28" s="57"/>
      <c r="F28" s="57"/>
      <c r="G28" s="57"/>
      <c r="H28" s="57"/>
    </row>
    <row r="29" spans="1:8" ht="31" x14ac:dyDescent="0.35">
      <c r="A29" s="289" t="s">
        <v>55</v>
      </c>
      <c r="B29" s="290" t="s">
        <v>56</v>
      </c>
      <c r="C29" s="289" t="s">
        <v>7</v>
      </c>
      <c r="D29" s="256"/>
      <c r="E29" s="57"/>
      <c r="F29" s="57"/>
      <c r="G29" s="57"/>
      <c r="H29" s="57"/>
    </row>
    <row r="30" spans="1:8" ht="31" x14ac:dyDescent="0.35">
      <c r="A30" s="289" t="s">
        <v>57</v>
      </c>
      <c r="B30" s="290" t="s">
        <v>58</v>
      </c>
      <c r="C30" s="289" t="s">
        <v>48</v>
      </c>
      <c r="D30" s="256"/>
      <c r="E30" s="57"/>
      <c r="F30" s="57" t="s">
        <v>497</v>
      </c>
      <c r="G30" s="57"/>
      <c r="H30" s="57"/>
    </row>
    <row r="31" spans="1:8" x14ac:dyDescent="0.35">
      <c r="A31" s="289" t="s">
        <v>59</v>
      </c>
      <c r="B31" s="290" t="s">
        <v>60</v>
      </c>
      <c r="C31" s="289" t="s">
        <v>48</v>
      </c>
      <c r="D31" s="256"/>
      <c r="E31" s="57"/>
      <c r="F31" s="57"/>
      <c r="G31" s="57"/>
      <c r="H31" s="57"/>
    </row>
    <row r="32" spans="1:8" x14ac:dyDescent="0.35">
      <c r="A32" s="289" t="s">
        <v>61</v>
      </c>
      <c r="B32" s="290" t="s">
        <v>62</v>
      </c>
      <c r="C32" s="289" t="s">
        <v>7</v>
      </c>
      <c r="D32" s="256" t="s">
        <v>63</v>
      </c>
      <c r="E32" s="57"/>
      <c r="F32" s="57"/>
      <c r="G32" s="57"/>
      <c r="H32" s="57"/>
    </row>
    <row r="33" spans="1:8" x14ac:dyDescent="0.35">
      <c r="A33" s="315" t="s">
        <v>64</v>
      </c>
      <c r="B33" s="315"/>
      <c r="C33" s="315"/>
      <c r="D33" s="315"/>
      <c r="E33" s="57"/>
      <c r="F33" s="57"/>
      <c r="G33" s="57"/>
      <c r="H33" s="57"/>
    </row>
    <row r="34" spans="1:8" x14ac:dyDescent="0.35">
      <c r="A34" s="289" t="s">
        <v>65</v>
      </c>
      <c r="B34" s="290" t="s">
        <v>66</v>
      </c>
      <c r="C34" s="289" t="s">
        <v>7</v>
      </c>
      <c r="D34" s="256"/>
      <c r="E34" s="57"/>
      <c r="F34" s="57"/>
      <c r="G34" s="57"/>
      <c r="H34" s="57"/>
    </row>
    <row r="35" spans="1:8" x14ac:dyDescent="0.35">
      <c r="A35" s="289" t="s">
        <v>68</v>
      </c>
      <c r="B35" s="290" t="s">
        <v>69</v>
      </c>
      <c r="C35" s="289" t="s">
        <v>7</v>
      </c>
      <c r="D35" s="256"/>
      <c r="E35" s="57"/>
      <c r="F35" s="57"/>
      <c r="G35" s="57"/>
      <c r="H35" s="57"/>
    </row>
    <row r="36" spans="1:8" x14ac:dyDescent="0.35">
      <c r="A36" s="289" t="s">
        <v>70</v>
      </c>
      <c r="B36" s="290" t="s">
        <v>259</v>
      </c>
      <c r="C36" s="289" t="s">
        <v>7</v>
      </c>
      <c r="D36" s="256"/>
      <c r="E36" s="57"/>
      <c r="F36" s="57"/>
      <c r="G36" s="57"/>
      <c r="H36" s="57"/>
    </row>
    <row r="37" spans="1:8" x14ac:dyDescent="0.35">
      <c r="A37" s="106"/>
      <c r="B37" s="91"/>
      <c r="C37" s="91"/>
      <c r="D37" s="91"/>
      <c r="E37" s="57"/>
      <c r="F37" s="57"/>
      <c r="G37" s="57"/>
      <c r="H37" s="57"/>
    </row>
    <row r="38" spans="1:8" ht="33" customHeight="1" x14ac:dyDescent="0.35">
      <c r="A38" s="377" t="s">
        <v>71</v>
      </c>
      <c r="B38" s="378"/>
      <c r="C38" s="378"/>
      <c r="D38" s="378"/>
      <c r="E38" s="57"/>
      <c r="F38" s="57"/>
      <c r="G38" s="57"/>
      <c r="H38" s="57"/>
    </row>
    <row r="39" spans="1:8" x14ac:dyDescent="0.35">
      <c r="A39" s="102" t="s">
        <v>0</v>
      </c>
      <c r="B39" s="330" t="s">
        <v>2</v>
      </c>
      <c r="C39" s="330" t="s">
        <v>3</v>
      </c>
      <c r="D39" s="326" t="s">
        <v>4</v>
      </c>
      <c r="E39" s="57"/>
      <c r="F39" s="57"/>
      <c r="G39" s="57"/>
      <c r="H39" s="57"/>
    </row>
    <row r="40" spans="1:8" x14ac:dyDescent="0.35">
      <c r="A40" s="285" t="s">
        <v>1</v>
      </c>
      <c r="B40" s="330"/>
      <c r="C40" s="330"/>
      <c r="D40" s="326"/>
      <c r="E40" s="57"/>
      <c r="F40" s="57"/>
      <c r="G40" s="57"/>
      <c r="H40" s="57"/>
    </row>
    <row r="41" spans="1:8" x14ac:dyDescent="0.35">
      <c r="A41" s="291" t="s">
        <v>5</v>
      </c>
      <c r="B41" s="292" t="s">
        <v>6</v>
      </c>
      <c r="C41" s="291" t="s">
        <v>7</v>
      </c>
      <c r="D41" s="103">
        <v>46073</v>
      </c>
      <c r="E41" s="57"/>
      <c r="F41" s="57"/>
      <c r="G41" s="57"/>
      <c r="H41" s="57"/>
    </row>
    <row r="42" spans="1:8" x14ac:dyDescent="0.35">
      <c r="A42" s="315" t="s">
        <v>72</v>
      </c>
      <c r="B42" s="315"/>
      <c r="C42" s="315"/>
      <c r="D42" s="315"/>
      <c r="E42" s="57"/>
      <c r="F42" s="57"/>
      <c r="G42" s="57"/>
      <c r="H42" s="57"/>
    </row>
    <row r="43" spans="1:8" ht="16" x14ac:dyDescent="0.35">
      <c r="A43" s="291" t="s">
        <v>9</v>
      </c>
      <c r="B43" s="292" t="s">
        <v>73</v>
      </c>
      <c r="C43" s="291" t="s">
        <v>7</v>
      </c>
      <c r="D43" s="104" t="s">
        <v>493</v>
      </c>
      <c r="E43" s="57"/>
      <c r="F43" s="57"/>
      <c r="G43" s="57"/>
      <c r="H43" s="57"/>
    </row>
    <row r="44" spans="1:8" x14ac:dyDescent="0.35">
      <c r="A44" s="315" t="s">
        <v>75</v>
      </c>
      <c r="B44" s="315"/>
      <c r="C44" s="315"/>
      <c r="D44" s="315"/>
      <c r="E44" s="57"/>
      <c r="F44" s="57"/>
      <c r="G44" s="57"/>
      <c r="H44" s="57"/>
    </row>
    <row r="45" spans="1:8" ht="16" x14ac:dyDescent="0.35">
      <c r="A45" s="291" t="s">
        <v>12</v>
      </c>
      <c r="B45" s="292" t="s">
        <v>76</v>
      </c>
      <c r="C45" s="291" t="s">
        <v>7</v>
      </c>
      <c r="D45" s="104" t="s">
        <v>494</v>
      </c>
      <c r="E45" s="57"/>
      <c r="F45" s="57"/>
      <c r="G45" s="57"/>
      <c r="H45" s="57"/>
    </row>
    <row r="46" spans="1:8" ht="16" x14ac:dyDescent="0.35">
      <c r="A46" s="291" t="s">
        <v>15</v>
      </c>
      <c r="B46" s="292" t="s">
        <v>78</v>
      </c>
      <c r="C46" s="291" t="s">
        <v>7</v>
      </c>
      <c r="D46" s="104" t="str">
        <f>D45</f>
        <v>Железобетонные, сборные</v>
      </c>
      <c r="E46" s="57"/>
      <c r="F46" s="57"/>
      <c r="G46" s="57"/>
      <c r="H46" s="57"/>
    </row>
    <row r="47" spans="1:8" x14ac:dyDescent="0.35">
      <c r="A47" s="315" t="s">
        <v>80</v>
      </c>
      <c r="B47" s="315"/>
      <c r="C47" s="315"/>
      <c r="D47" s="315"/>
      <c r="E47" s="57"/>
      <c r="F47" s="57"/>
      <c r="G47" s="57"/>
      <c r="H47" s="57"/>
    </row>
    <row r="48" spans="1:8" ht="32" x14ac:dyDescent="0.35">
      <c r="A48" s="291" t="s">
        <v>18</v>
      </c>
      <c r="B48" s="292" t="s">
        <v>81</v>
      </c>
      <c r="C48" s="291" t="s">
        <v>7</v>
      </c>
      <c r="D48" s="104" t="s">
        <v>495</v>
      </c>
      <c r="E48" s="57"/>
      <c r="F48" s="57"/>
      <c r="G48" s="57"/>
      <c r="H48" s="57"/>
    </row>
    <row r="49" spans="1:8" x14ac:dyDescent="0.35">
      <c r="A49" s="315" t="s">
        <v>83</v>
      </c>
      <c r="B49" s="315"/>
      <c r="C49" s="315"/>
      <c r="D49" s="315"/>
      <c r="E49" s="57"/>
      <c r="F49" s="57"/>
      <c r="G49" s="57"/>
      <c r="H49" s="57"/>
    </row>
    <row r="50" spans="1:8" ht="16" x14ac:dyDescent="0.35">
      <c r="A50" s="291" t="s">
        <v>21</v>
      </c>
      <c r="B50" s="292" t="s">
        <v>84</v>
      </c>
      <c r="C50" s="291" t="s">
        <v>7</v>
      </c>
      <c r="D50" s="104" t="s">
        <v>85</v>
      </c>
      <c r="E50" s="57"/>
      <c r="F50" s="57"/>
      <c r="G50" s="57"/>
      <c r="H50" s="57"/>
    </row>
    <row r="51" spans="1:8" ht="16" x14ac:dyDescent="0.35">
      <c r="A51" s="291" t="s">
        <v>23</v>
      </c>
      <c r="B51" s="292" t="s">
        <v>86</v>
      </c>
      <c r="C51" s="291" t="s">
        <v>7</v>
      </c>
      <c r="D51" s="104" t="s">
        <v>87</v>
      </c>
      <c r="E51" s="57"/>
      <c r="F51" s="57"/>
      <c r="G51" s="57"/>
      <c r="H51" s="57"/>
    </row>
    <row r="52" spans="1:8" x14ac:dyDescent="0.35">
      <c r="A52" s="315" t="s">
        <v>88</v>
      </c>
      <c r="B52" s="315"/>
      <c r="C52" s="315"/>
      <c r="D52" s="315"/>
      <c r="E52" s="57"/>
      <c r="F52" s="57"/>
      <c r="G52" s="57"/>
      <c r="H52" s="57"/>
    </row>
    <row r="53" spans="1:8" ht="16" x14ac:dyDescent="0.35">
      <c r="A53" s="291" t="s">
        <v>26</v>
      </c>
      <c r="B53" s="292" t="s">
        <v>89</v>
      </c>
      <c r="C53" s="291" t="s">
        <v>48</v>
      </c>
      <c r="D53" s="104"/>
      <c r="E53" s="57"/>
      <c r="F53" s="57"/>
      <c r="G53" s="57"/>
      <c r="H53" s="57"/>
    </row>
    <row r="54" spans="1:8" x14ac:dyDescent="0.35">
      <c r="A54" s="315" t="s">
        <v>90</v>
      </c>
      <c r="B54" s="315"/>
      <c r="C54" s="315"/>
      <c r="D54" s="315"/>
      <c r="E54" s="57"/>
      <c r="F54" s="57"/>
      <c r="G54" s="57"/>
      <c r="H54" s="57"/>
    </row>
    <row r="55" spans="1:8" ht="16" x14ac:dyDescent="0.35">
      <c r="A55" s="291" t="s">
        <v>29</v>
      </c>
      <c r="B55" s="292" t="s">
        <v>91</v>
      </c>
      <c r="C55" s="291" t="s">
        <v>7</v>
      </c>
      <c r="D55" s="104"/>
      <c r="E55" s="57"/>
      <c r="F55" s="57"/>
      <c r="G55" s="57"/>
      <c r="H55" s="57"/>
    </row>
    <row r="56" spans="1:8" ht="16" x14ac:dyDescent="0.35">
      <c r="A56" s="291" t="s">
        <v>31</v>
      </c>
      <c r="B56" s="292" t="s">
        <v>92</v>
      </c>
      <c r="C56" s="291" t="s">
        <v>33</v>
      </c>
      <c r="D56" s="104">
        <v>1</v>
      </c>
      <c r="E56" s="57"/>
      <c r="F56" s="57"/>
      <c r="G56" s="57"/>
      <c r="H56" s="57"/>
    </row>
    <row r="57" spans="1:8" x14ac:dyDescent="0.35">
      <c r="A57" s="315" t="s">
        <v>93</v>
      </c>
      <c r="B57" s="315"/>
      <c r="C57" s="315"/>
      <c r="D57" s="315"/>
      <c r="E57" s="57"/>
      <c r="F57" s="57"/>
      <c r="G57" s="57"/>
      <c r="H57" s="57"/>
    </row>
    <row r="58" spans="1:8" ht="16" x14ac:dyDescent="0.35">
      <c r="A58" s="291" t="s">
        <v>34</v>
      </c>
      <c r="B58" s="292" t="s">
        <v>94</v>
      </c>
      <c r="C58" s="291" t="s">
        <v>7</v>
      </c>
      <c r="D58" s="104">
        <v>1</v>
      </c>
      <c r="E58" s="57"/>
      <c r="F58" s="57"/>
      <c r="G58" s="57"/>
      <c r="H58" s="57"/>
    </row>
    <row r="59" spans="1:8" ht="16" x14ac:dyDescent="0.35">
      <c r="A59" s="291" t="s">
        <v>36</v>
      </c>
      <c r="B59" s="292" t="s">
        <v>95</v>
      </c>
      <c r="C59" s="291" t="s">
        <v>7</v>
      </c>
      <c r="D59" s="104" t="s">
        <v>96</v>
      </c>
      <c r="E59" s="57"/>
      <c r="F59" s="57"/>
      <c r="G59" s="57"/>
      <c r="H59" s="57"/>
    </row>
    <row r="60" spans="1:8" x14ac:dyDescent="0.35">
      <c r="A60" s="291" t="s">
        <v>38</v>
      </c>
      <c r="B60" s="292" t="s">
        <v>97</v>
      </c>
      <c r="C60" s="291" t="s">
        <v>7</v>
      </c>
      <c r="D60" s="296"/>
      <c r="E60" s="57"/>
      <c r="F60" s="57" t="s">
        <v>496</v>
      </c>
      <c r="G60" s="57"/>
      <c r="H60" s="57"/>
    </row>
    <row r="61" spans="1:8" x14ac:dyDescent="0.35">
      <c r="A61" s="315" t="s">
        <v>99</v>
      </c>
      <c r="B61" s="315"/>
      <c r="C61" s="315"/>
      <c r="D61" s="315"/>
      <c r="E61" s="57"/>
      <c r="F61" s="57"/>
      <c r="G61" s="57"/>
      <c r="H61" s="57"/>
    </row>
    <row r="62" spans="1:8" ht="16" x14ac:dyDescent="0.35">
      <c r="A62" s="291" t="s">
        <v>40</v>
      </c>
      <c r="B62" s="292" t="s">
        <v>100</v>
      </c>
      <c r="C62" s="291" t="s">
        <v>7</v>
      </c>
      <c r="D62" s="104" t="s">
        <v>101</v>
      </c>
      <c r="E62" s="57"/>
      <c r="F62" s="57"/>
      <c r="G62" s="57"/>
      <c r="H62" s="57"/>
    </row>
    <row r="63" spans="1:8" ht="16" x14ac:dyDescent="0.35">
      <c r="A63" s="291" t="s">
        <v>42</v>
      </c>
      <c r="B63" s="292" t="s">
        <v>102</v>
      </c>
      <c r="C63" s="291" t="s">
        <v>7</v>
      </c>
      <c r="D63" s="104" t="s">
        <v>103</v>
      </c>
      <c r="E63" s="57"/>
      <c r="F63" s="57"/>
      <c r="G63" s="57"/>
      <c r="H63" s="57"/>
    </row>
    <row r="64" spans="1:8" ht="16" x14ac:dyDescent="0.35">
      <c r="A64" s="291" t="s">
        <v>44</v>
      </c>
      <c r="B64" s="292" t="s">
        <v>104</v>
      </c>
      <c r="C64" s="291" t="s">
        <v>7</v>
      </c>
      <c r="D64" s="104" t="s">
        <v>506</v>
      </c>
      <c r="E64" s="57"/>
      <c r="F64" s="57"/>
      <c r="G64" s="57"/>
      <c r="H64" s="57"/>
    </row>
    <row r="65" spans="1:8" ht="16" x14ac:dyDescent="0.35">
      <c r="A65" s="291" t="s">
        <v>46</v>
      </c>
      <c r="B65" s="292" t="s">
        <v>106</v>
      </c>
      <c r="C65" s="291" t="s">
        <v>7</v>
      </c>
      <c r="D65" s="104" t="s">
        <v>107</v>
      </c>
      <c r="E65" s="57"/>
      <c r="F65" s="57"/>
      <c r="G65" s="57"/>
      <c r="H65" s="57"/>
    </row>
    <row r="66" spans="1:8" x14ac:dyDescent="0.35">
      <c r="A66" s="291" t="s">
        <v>49</v>
      </c>
      <c r="B66" s="292" t="s">
        <v>108</v>
      </c>
      <c r="C66" s="291" t="s">
        <v>7</v>
      </c>
      <c r="D66" s="296">
        <v>2013</v>
      </c>
      <c r="E66" s="57"/>
      <c r="F66" s="57"/>
      <c r="G66" s="57"/>
      <c r="H66" s="57"/>
    </row>
    <row r="67" spans="1:8" x14ac:dyDescent="0.35">
      <c r="A67" s="291" t="s">
        <v>51</v>
      </c>
      <c r="B67" s="292" t="s">
        <v>109</v>
      </c>
      <c r="C67" s="291" t="s">
        <v>7</v>
      </c>
      <c r="D67" s="296">
        <v>2024</v>
      </c>
      <c r="E67" s="57"/>
      <c r="F67" s="57"/>
      <c r="G67" s="57"/>
      <c r="H67" s="57"/>
    </row>
    <row r="68" spans="1:8" x14ac:dyDescent="0.35">
      <c r="A68" s="315" t="s">
        <v>99</v>
      </c>
      <c r="B68" s="315"/>
      <c r="C68" s="315"/>
      <c r="D68" s="315"/>
      <c r="E68" s="57"/>
      <c r="F68" s="57"/>
      <c r="G68" s="57"/>
      <c r="H68" s="57"/>
    </row>
    <row r="69" spans="1:8" ht="16" x14ac:dyDescent="0.35">
      <c r="A69" s="291" t="s">
        <v>53</v>
      </c>
      <c r="B69" s="292" t="s">
        <v>110</v>
      </c>
      <c r="C69" s="291" t="s">
        <v>7</v>
      </c>
      <c r="D69" s="104" t="s">
        <v>111</v>
      </c>
      <c r="E69" s="57"/>
      <c r="F69" s="57"/>
      <c r="G69" s="57"/>
      <c r="H69" s="57"/>
    </row>
    <row r="70" spans="1:8" ht="16" x14ac:dyDescent="0.35">
      <c r="A70" s="291" t="s">
        <v>55</v>
      </c>
      <c r="B70" s="292" t="s">
        <v>112</v>
      </c>
      <c r="C70" s="291" t="s">
        <v>7</v>
      </c>
      <c r="D70" s="104" t="s">
        <v>113</v>
      </c>
      <c r="E70" s="57"/>
      <c r="F70" s="57"/>
      <c r="G70" s="57"/>
      <c r="H70" s="57"/>
    </row>
    <row r="71" spans="1:8" ht="16" x14ac:dyDescent="0.35">
      <c r="A71" s="291" t="s">
        <v>57</v>
      </c>
      <c r="B71" s="292" t="s">
        <v>104</v>
      </c>
      <c r="C71" s="291" t="s">
        <v>7</v>
      </c>
      <c r="D71" s="104" t="s">
        <v>114</v>
      </c>
      <c r="E71" s="57"/>
      <c r="F71" s="57"/>
      <c r="G71" s="57"/>
      <c r="H71" s="57"/>
    </row>
    <row r="72" spans="1:8" ht="16" x14ac:dyDescent="0.35">
      <c r="A72" s="291" t="s">
        <v>59</v>
      </c>
      <c r="B72" s="292" t="s">
        <v>106</v>
      </c>
      <c r="C72" s="291" t="s">
        <v>7</v>
      </c>
      <c r="D72" s="104" t="s">
        <v>115</v>
      </c>
      <c r="E72" s="57"/>
      <c r="F72" s="57"/>
      <c r="G72" s="57"/>
      <c r="H72" s="57"/>
    </row>
    <row r="73" spans="1:8" x14ac:dyDescent="0.35">
      <c r="A73" s="291" t="s">
        <v>61</v>
      </c>
      <c r="B73" s="292" t="s">
        <v>108</v>
      </c>
      <c r="C73" s="291" t="s">
        <v>7</v>
      </c>
      <c r="D73" s="296">
        <v>2012</v>
      </c>
      <c r="E73" s="57"/>
      <c r="F73" s="57"/>
      <c r="G73" s="57"/>
      <c r="H73" s="57"/>
    </row>
    <row r="74" spans="1:8" x14ac:dyDescent="0.35">
      <c r="A74" s="291" t="s">
        <v>65</v>
      </c>
      <c r="B74" s="292" t="s">
        <v>109</v>
      </c>
      <c r="C74" s="291" t="s">
        <v>7</v>
      </c>
      <c r="D74" s="105"/>
      <c r="E74" s="57"/>
      <c r="F74" s="57"/>
      <c r="G74" s="57"/>
      <c r="H74" s="57"/>
    </row>
    <row r="75" spans="1:8" x14ac:dyDescent="0.35">
      <c r="A75" s="315" t="s">
        <v>99</v>
      </c>
      <c r="B75" s="315"/>
      <c r="C75" s="315"/>
      <c r="D75" s="315"/>
      <c r="E75" s="57"/>
      <c r="F75" s="57"/>
      <c r="G75" s="57"/>
      <c r="H75" s="57"/>
    </row>
    <row r="76" spans="1:8" ht="16" x14ac:dyDescent="0.35">
      <c r="A76" s="291" t="s">
        <v>68</v>
      </c>
      <c r="B76" s="292" t="s">
        <v>110</v>
      </c>
      <c r="C76" s="291" t="s">
        <v>7</v>
      </c>
      <c r="D76" s="104" t="s">
        <v>116</v>
      </c>
      <c r="E76" s="57"/>
      <c r="F76" s="57"/>
      <c r="G76" s="57"/>
      <c r="H76" s="57"/>
    </row>
    <row r="77" spans="1:8" ht="16" x14ac:dyDescent="0.35">
      <c r="A77" s="291" t="s">
        <v>70</v>
      </c>
      <c r="B77" s="292" t="s">
        <v>112</v>
      </c>
      <c r="C77" s="291" t="s">
        <v>7</v>
      </c>
      <c r="D77" s="104" t="s">
        <v>113</v>
      </c>
      <c r="E77" s="57"/>
      <c r="F77" s="57"/>
      <c r="G77" s="57"/>
      <c r="H77" s="57"/>
    </row>
    <row r="78" spans="1:8" ht="16" x14ac:dyDescent="0.35">
      <c r="A78" s="291" t="s">
        <v>117</v>
      </c>
      <c r="B78" s="292" t="s">
        <v>104</v>
      </c>
      <c r="C78" s="291" t="s">
        <v>7</v>
      </c>
      <c r="D78" s="104" t="s">
        <v>118</v>
      </c>
      <c r="E78" s="57"/>
      <c r="F78" s="57"/>
      <c r="G78" s="57"/>
      <c r="H78" s="57"/>
    </row>
    <row r="79" spans="1:8" ht="16" x14ac:dyDescent="0.35">
      <c r="A79" s="291" t="s">
        <v>119</v>
      </c>
      <c r="B79" s="292" t="s">
        <v>106</v>
      </c>
      <c r="C79" s="291" t="s">
        <v>7</v>
      </c>
      <c r="D79" s="104" t="s">
        <v>120</v>
      </c>
      <c r="E79" s="57"/>
      <c r="F79" s="57"/>
      <c r="G79" s="57"/>
      <c r="H79" s="57"/>
    </row>
    <row r="80" spans="1:8" x14ac:dyDescent="0.35">
      <c r="A80" s="291" t="s">
        <v>121</v>
      </c>
      <c r="B80" s="292" t="s">
        <v>108</v>
      </c>
      <c r="C80" s="291" t="s">
        <v>7</v>
      </c>
      <c r="D80" s="296">
        <v>2009</v>
      </c>
      <c r="E80" s="57"/>
      <c r="F80" s="57"/>
      <c r="G80" s="57"/>
      <c r="H80" s="57"/>
    </row>
    <row r="81" spans="1:11" x14ac:dyDescent="0.35">
      <c r="A81" s="291" t="s">
        <v>122</v>
      </c>
      <c r="B81" s="292" t="s">
        <v>109</v>
      </c>
      <c r="C81" s="291" t="s">
        <v>7</v>
      </c>
      <c r="D81" s="296" t="s">
        <v>123</v>
      </c>
      <c r="E81" s="57"/>
      <c r="F81" s="57"/>
      <c r="G81" s="57"/>
      <c r="H81" s="57"/>
    </row>
    <row r="82" spans="1:11" x14ac:dyDescent="0.35">
      <c r="A82" s="315" t="s">
        <v>124</v>
      </c>
      <c r="B82" s="315"/>
      <c r="C82" s="315"/>
      <c r="D82" s="315"/>
      <c r="E82" s="57"/>
      <c r="F82" s="57"/>
      <c r="G82" s="57"/>
      <c r="H82" s="57"/>
    </row>
    <row r="83" spans="1:11" ht="16" x14ac:dyDescent="0.35">
      <c r="A83" s="291" t="s">
        <v>122</v>
      </c>
      <c r="B83" s="292" t="s">
        <v>125</v>
      </c>
      <c r="C83" s="291" t="s">
        <v>7</v>
      </c>
      <c r="D83" s="104" t="s">
        <v>126</v>
      </c>
      <c r="E83" s="57"/>
      <c r="F83" s="57"/>
      <c r="G83" s="57"/>
      <c r="H83" s="57"/>
    </row>
    <row r="84" spans="1:11" x14ac:dyDescent="0.35">
      <c r="A84" s="315" t="s">
        <v>127</v>
      </c>
      <c r="B84" s="315"/>
      <c r="C84" s="315"/>
      <c r="D84" s="315"/>
      <c r="E84" s="57"/>
      <c r="F84" s="57"/>
      <c r="G84" s="57"/>
      <c r="H84" s="57"/>
    </row>
    <row r="85" spans="1:11" ht="16" x14ac:dyDescent="0.35">
      <c r="A85" s="291" t="s">
        <v>128</v>
      </c>
      <c r="B85" s="292" t="s">
        <v>129</v>
      </c>
      <c r="C85" s="291" t="s">
        <v>7</v>
      </c>
      <c r="D85" s="104"/>
      <c r="E85" s="57"/>
      <c r="F85" s="57"/>
      <c r="G85" s="57"/>
      <c r="H85" s="57"/>
    </row>
    <row r="86" spans="1:11" x14ac:dyDescent="0.35">
      <c r="A86" s="315" t="s">
        <v>131</v>
      </c>
      <c r="B86" s="315"/>
      <c r="C86" s="315"/>
      <c r="D86" s="315"/>
      <c r="E86" s="57"/>
      <c r="F86" s="57"/>
      <c r="G86" s="57"/>
      <c r="H86" s="57"/>
    </row>
    <row r="87" spans="1:11" ht="16" x14ac:dyDescent="0.35">
      <c r="A87" s="291" t="s">
        <v>132</v>
      </c>
      <c r="B87" s="292" t="s">
        <v>133</v>
      </c>
      <c r="C87" s="291" t="s">
        <v>7</v>
      </c>
      <c r="D87" s="104" t="s">
        <v>134</v>
      </c>
      <c r="E87" s="57"/>
      <c r="F87" s="57"/>
      <c r="G87" s="57"/>
      <c r="H87" s="57"/>
    </row>
    <row r="88" spans="1:11" x14ac:dyDescent="0.35">
      <c r="A88" s="315" t="s">
        <v>135</v>
      </c>
      <c r="B88" s="315"/>
      <c r="C88" s="315"/>
      <c r="D88" s="315"/>
      <c r="E88" s="57"/>
      <c r="F88" s="57"/>
      <c r="G88" s="57"/>
      <c r="H88" s="57"/>
    </row>
    <row r="89" spans="1:11" ht="16" x14ac:dyDescent="0.35">
      <c r="A89" s="291" t="s">
        <v>136</v>
      </c>
      <c r="B89" s="292" t="s">
        <v>137</v>
      </c>
      <c r="C89" s="291" t="s">
        <v>7</v>
      </c>
      <c r="D89" s="104" t="s">
        <v>138</v>
      </c>
      <c r="E89" s="57"/>
      <c r="F89" s="57"/>
      <c r="G89" s="57"/>
      <c r="H89" s="57"/>
    </row>
    <row r="90" spans="1:11" x14ac:dyDescent="0.35">
      <c r="A90" s="315" t="s">
        <v>139</v>
      </c>
      <c r="B90" s="315"/>
      <c r="C90" s="315"/>
      <c r="D90" s="315"/>
      <c r="E90" s="57"/>
      <c r="F90" s="57"/>
      <c r="G90" s="57"/>
      <c r="H90" s="57"/>
    </row>
    <row r="91" spans="1:11" x14ac:dyDescent="0.35">
      <c r="A91" s="106"/>
      <c r="B91" s="91"/>
      <c r="C91" s="91"/>
      <c r="D91" s="91"/>
      <c r="E91" s="57"/>
      <c r="F91" s="57"/>
      <c r="G91" s="57"/>
      <c r="H91" s="57"/>
    </row>
    <row r="92" spans="1:11" ht="43.5" customHeight="1" x14ac:dyDescent="0.35">
      <c r="A92" s="434" t="s">
        <v>517</v>
      </c>
      <c r="B92" s="435"/>
      <c r="C92" s="435"/>
      <c r="D92" s="435"/>
      <c r="E92" s="435"/>
      <c r="F92" s="435"/>
      <c r="G92" s="435"/>
      <c r="H92" s="435"/>
    </row>
    <row r="93" spans="1:11" s="159" customFormat="1" ht="39" customHeight="1" x14ac:dyDescent="0.35">
      <c r="A93" s="212" t="s">
        <v>0</v>
      </c>
      <c r="B93" s="355" t="s">
        <v>391</v>
      </c>
      <c r="C93" s="355" t="s">
        <v>106</v>
      </c>
      <c r="D93" s="213" t="s">
        <v>392</v>
      </c>
      <c r="E93" s="214" t="s">
        <v>393</v>
      </c>
      <c r="F93" s="214"/>
      <c r="G93" s="214" t="s">
        <v>394</v>
      </c>
      <c r="H93" s="214"/>
    </row>
    <row r="94" spans="1:11" s="159" customFormat="1" ht="57.5" x14ac:dyDescent="0.35">
      <c r="A94" s="212"/>
      <c r="B94" s="356"/>
      <c r="C94" s="356"/>
      <c r="D94" s="213" t="s">
        <v>395</v>
      </c>
      <c r="E94" s="213" t="s">
        <v>396</v>
      </c>
      <c r="F94" s="213" t="s">
        <v>397</v>
      </c>
      <c r="G94" s="213" t="s">
        <v>396</v>
      </c>
      <c r="H94" s="213" t="s">
        <v>398</v>
      </c>
    </row>
    <row r="95" spans="1:11" s="164" customFormat="1" ht="28.5" customHeight="1" x14ac:dyDescent="0.35">
      <c r="A95" s="212">
        <v>1</v>
      </c>
      <c r="B95" s="266" t="s">
        <v>399</v>
      </c>
      <c r="C95" s="215" t="s">
        <v>400</v>
      </c>
      <c r="D95" s="267">
        <f>SUM(D96:D101)</f>
        <v>0.42000000000000004</v>
      </c>
      <c r="E95" s="216">
        <f>[2]ШК104!$E$6</f>
        <v>5609.6</v>
      </c>
      <c r="F95" s="216">
        <f>D95*E95</f>
        <v>2356.0320000000002</v>
      </c>
      <c r="G95" s="216">
        <f>E95</f>
        <v>5609.6</v>
      </c>
      <c r="H95" s="216">
        <f>F95*12</f>
        <v>28272.384000000002</v>
      </c>
      <c r="K95" s="197">
        <f>H95</f>
        <v>28272.384000000002</v>
      </c>
    </row>
    <row r="96" spans="1:11" s="159" customFormat="1" ht="22" customHeight="1" x14ac:dyDescent="0.35">
      <c r="A96" s="213"/>
      <c r="B96" s="108" t="s">
        <v>401</v>
      </c>
      <c r="C96" s="214" t="s">
        <v>402</v>
      </c>
      <c r="D96" s="211">
        <v>0.02</v>
      </c>
      <c r="E96" s="65">
        <f>E95</f>
        <v>5609.6</v>
      </c>
      <c r="F96" s="65">
        <f>D96*E96</f>
        <v>112.19200000000001</v>
      </c>
      <c r="G96" s="65">
        <f>E96</f>
        <v>5609.6</v>
      </c>
      <c r="H96" s="65">
        <f>F96*12</f>
        <v>1346.3040000000001</v>
      </c>
    </row>
    <row r="97" spans="1:11" s="159" customFormat="1" ht="25.5" customHeight="1" x14ac:dyDescent="0.35">
      <c r="A97" s="213"/>
      <c r="B97" s="108" t="s">
        <v>403</v>
      </c>
      <c r="C97" s="214" t="s">
        <v>402</v>
      </c>
      <c r="D97" s="83">
        <f>0.02</f>
        <v>0.02</v>
      </c>
      <c r="E97" s="65">
        <f>E96</f>
        <v>5609.6</v>
      </c>
      <c r="F97" s="65">
        <f t="shared" ref="F97:F123" si="0">D97*E97</f>
        <v>112.19200000000001</v>
      </c>
      <c r="G97" s="65">
        <f t="shared" ref="G97:G123" si="1">E97</f>
        <v>5609.6</v>
      </c>
      <c r="H97" s="65">
        <f t="shared" ref="H97:H123" si="2">F97*12</f>
        <v>1346.3040000000001</v>
      </c>
    </row>
    <row r="98" spans="1:11" s="159" customFormat="1" ht="22" customHeight="1" x14ac:dyDescent="0.35">
      <c r="A98" s="213"/>
      <c r="B98" s="108" t="s">
        <v>404</v>
      </c>
      <c r="C98" s="214" t="s">
        <v>402</v>
      </c>
      <c r="D98" s="83">
        <v>0.05</v>
      </c>
      <c r="E98" s="65">
        <f t="shared" ref="E98:E101" si="3">E97</f>
        <v>5609.6</v>
      </c>
      <c r="F98" s="65">
        <f t="shared" si="0"/>
        <v>280.48</v>
      </c>
      <c r="G98" s="65">
        <f t="shared" si="1"/>
        <v>5609.6</v>
      </c>
      <c r="H98" s="65">
        <f t="shared" si="2"/>
        <v>3365.76</v>
      </c>
    </row>
    <row r="99" spans="1:11" s="159" customFormat="1" ht="22" customHeight="1" x14ac:dyDescent="0.35">
      <c r="A99" s="213"/>
      <c r="B99" s="108" t="s">
        <v>405</v>
      </c>
      <c r="C99" s="214" t="s">
        <v>402</v>
      </c>
      <c r="D99" s="83">
        <v>0.3</v>
      </c>
      <c r="E99" s="65">
        <f t="shared" si="3"/>
        <v>5609.6</v>
      </c>
      <c r="F99" s="65">
        <f t="shared" si="0"/>
        <v>1682.88</v>
      </c>
      <c r="G99" s="65">
        <f t="shared" si="1"/>
        <v>5609.6</v>
      </c>
      <c r="H99" s="65">
        <f t="shared" si="2"/>
        <v>20194.560000000001</v>
      </c>
    </row>
    <row r="100" spans="1:11" s="159" customFormat="1" ht="22" customHeight="1" x14ac:dyDescent="0.35">
      <c r="A100" s="213"/>
      <c r="B100" s="108" t="s">
        <v>406</v>
      </c>
      <c r="C100" s="214" t="s">
        <v>402</v>
      </c>
      <c r="D100" s="83">
        <v>0.02</v>
      </c>
      <c r="E100" s="65">
        <f t="shared" si="3"/>
        <v>5609.6</v>
      </c>
      <c r="F100" s="65">
        <f t="shared" si="0"/>
        <v>112.19200000000001</v>
      </c>
      <c r="G100" s="65">
        <f t="shared" si="1"/>
        <v>5609.6</v>
      </c>
      <c r="H100" s="65">
        <f t="shared" si="2"/>
        <v>1346.3040000000001</v>
      </c>
    </row>
    <row r="101" spans="1:11" s="159" customFormat="1" ht="35.5" customHeight="1" x14ac:dyDescent="0.35">
      <c r="A101" s="213"/>
      <c r="B101" s="108" t="s">
        <v>407</v>
      </c>
      <c r="C101" s="214" t="s">
        <v>402</v>
      </c>
      <c r="D101" s="83">
        <v>0.01</v>
      </c>
      <c r="E101" s="65">
        <f t="shared" si="3"/>
        <v>5609.6</v>
      </c>
      <c r="F101" s="65">
        <f t="shared" si="0"/>
        <v>56.096000000000004</v>
      </c>
      <c r="G101" s="65">
        <f t="shared" si="1"/>
        <v>5609.6</v>
      </c>
      <c r="H101" s="65">
        <f t="shared" si="2"/>
        <v>673.15200000000004</v>
      </c>
    </row>
    <row r="102" spans="1:11" s="164" customFormat="1" ht="36" customHeight="1" x14ac:dyDescent="0.35">
      <c r="A102" s="212" t="s">
        <v>408</v>
      </c>
      <c r="B102" s="266" t="s">
        <v>262</v>
      </c>
      <c r="C102" s="215" t="s">
        <v>402</v>
      </c>
      <c r="D102" s="269">
        <f>SUM(D103:D108)</f>
        <v>7.5</v>
      </c>
      <c r="E102" s="216">
        <f>E95</f>
        <v>5609.6</v>
      </c>
      <c r="F102" s="216">
        <f t="shared" si="0"/>
        <v>42072</v>
      </c>
      <c r="G102" s="216">
        <f t="shared" si="1"/>
        <v>5609.6</v>
      </c>
      <c r="H102" s="216">
        <f t="shared" si="2"/>
        <v>504864</v>
      </c>
      <c r="K102" s="197">
        <f>H102</f>
        <v>504864</v>
      </c>
    </row>
    <row r="103" spans="1:11" s="159" customFormat="1" ht="22" customHeight="1" x14ac:dyDescent="0.35">
      <c r="A103" s="213"/>
      <c r="B103" s="108" t="s">
        <v>409</v>
      </c>
      <c r="C103" s="214" t="s">
        <v>402</v>
      </c>
      <c r="D103" s="83">
        <v>0.25</v>
      </c>
      <c r="E103" s="65">
        <f>E101</f>
        <v>5609.6</v>
      </c>
      <c r="F103" s="65">
        <f t="shared" si="0"/>
        <v>1402.4</v>
      </c>
      <c r="G103" s="65">
        <f t="shared" si="1"/>
        <v>5609.6</v>
      </c>
      <c r="H103" s="65">
        <f t="shared" si="2"/>
        <v>16828.800000000003</v>
      </c>
    </row>
    <row r="104" spans="1:11" s="159" customFormat="1" ht="22" customHeight="1" x14ac:dyDescent="0.35">
      <c r="A104" s="213"/>
      <c r="B104" s="108" t="s">
        <v>410</v>
      </c>
      <c r="C104" s="214" t="s">
        <v>402</v>
      </c>
      <c r="D104" s="83">
        <v>4.5599999999999996</v>
      </c>
      <c r="E104" s="65">
        <f>E103</f>
        <v>5609.6</v>
      </c>
      <c r="F104" s="65">
        <f t="shared" si="0"/>
        <v>25579.775999999998</v>
      </c>
      <c r="G104" s="65">
        <f t="shared" si="1"/>
        <v>5609.6</v>
      </c>
      <c r="H104" s="65">
        <f t="shared" si="2"/>
        <v>306957.31199999998</v>
      </c>
    </row>
    <row r="105" spans="1:11" s="159" customFormat="1" ht="36" customHeight="1" x14ac:dyDescent="0.35">
      <c r="A105" s="213"/>
      <c r="B105" s="108" t="s">
        <v>411</v>
      </c>
      <c r="C105" s="214" t="s">
        <v>402</v>
      </c>
      <c r="D105" s="83">
        <f>0.16+0.2</f>
        <v>0.36</v>
      </c>
      <c r="E105" s="65">
        <f t="shared" ref="E105" si="4">E104</f>
        <v>5609.6</v>
      </c>
      <c r="F105" s="65">
        <f t="shared" si="0"/>
        <v>2019.4560000000001</v>
      </c>
      <c r="G105" s="65">
        <f t="shared" si="1"/>
        <v>5609.6</v>
      </c>
      <c r="H105" s="65">
        <f t="shared" si="2"/>
        <v>24233.472000000002</v>
      </c>
    </row>
    <row r="106" spans="1:11" s="159" customFormat="1" ht="34" customHeight="1" x14ac:dyDescent="0.35">
      <c r="A106" s="213"/>
      <c r="B106" s="108" t="s">
        <v>413</v>
      </c>
      <c r="C106" s="214" t="s">
        <v>402</v>
      </c>
      <c r="D106" s="83">
        <v>0.9</v>
      </c>
      <c r="E106" s="65">
        <f>E105</f>
        <v>5609.6</v>
      </c>
      <c r="F106" s="65">
        <f t="shared" si="0"/>
        <v>5048.6400000000003</v>
      </c>
      <c r="G106" s="65">
        <f t="shared" si="1"/>
        <v>5609.6</v>
      </c>
      <c r="H106" s="65">
        <f t="shared" si="2"/>
        <v>60583.680000000008</v>
      </c>
    </row>
    <row r="107" spans="1:11" s="159" customFormat="1" ht="11.5" customHeight="1" x14ac:dyDescent="0.35">
      <c r="A107" s="213"/>
      <c r="B107" s="108" t="str">
        <f>'[27]Перечень работ и услуг'!$A$16</f>
        <v xml:space="preserve"> - Обслуживание мусоропроводов</v>
      </c>
      <c r="C107" s="214" t="s">
        <v>402</v>
      </c>
      <c r="D107" s="83">
        <v>1.37</v>
      </c>
      <c r="E107" s="65">
        <f>E106</f>
        <v>5609.6</v>
      </c>
      <c r="F107" s="65">
        <f t="shared" si="0"/>
        <v>7685.152000000001</v>
      </c>
      <c r="G107" s="65">
        <f t="shared" si="1"/>
        <v>5609.6</v>
      </c>
      <c r="H107" s="65">
        <f t="shared" si="2"/>
        <v>92221.824000000008</v>
      </c>
    </row>
    <row r="108" spans="1:11" s="159" customFormat="1" ht="38.5" customHeight="1" x14ac:dyDescent="0.35">
      <c r="A108" s="213"/>
      <c r="B108" s="108" t="s">
        <v>414</v>
      </c>
      <c r="C108" s="214" t="s">
        <v>402</v>
      </c>
      <c r="D108" s="83">
        <v>0.06</v>
      </c>
      <c r="E108" s="65">
        <f>E106</f>
        <v>5609.6</v>
      </c>
      <c r="F108" s="65">
        <f t="shared" si="0"/>
        <v>336.57600000000002</v>
      </c>
      <c r="G108" s="65">
        <f t="shared" si="1"/>
        <v>5609.6</v>
      </c>
      <c r="H108" s="65">
        <f t="shared" si="2"/>
        <v>4038.9120000000003</v>
      </c>
    </row>
    <row r="109" spans="1:11" s="164" customFormat="1" ht="22" customHeight="1" x14ac:dyDescent="0.35">
      <c r="A109" s="212"/>
      <c r="B109" s="266" t="s">
        <v>415</v>
      </c>
      <c r="C109" s="215" t="s">
        <v>402</v>
      </c>
      <c r="D109" s="269">
        <f>SUM(D110:D117)</f>
        <v>6.0399999999999991</v>
      </c>
      <c r="E109" s="216">
        <f>E102</f>
        <v>5609.6</v>
      </c>
      <c r="F109" s="216">
        <f t="shared" si="0"/>
        <v>33881.983999999997</v>
      </c>
      <c r="G109" s="216">
        <f t="shared" si="1"/>
        <v>5609.6</v>
      </c>
      <c r="H109" s="216">
        <f t="shared" si="2"/>
        <v>406583.80799999996</v>
      </c>
      <c r="K109" s="197">
        <f>H109</f>
        <v>406583.80799999996</v>
      </c>
    </row>
    <row r="110" spans="1:11" s="159" customFormat="1" ht="22" customHeight="1" x14ac:dyDescent="0.35">
      <c r="A110" s="212" t="s">
        <v>450</v>
      </c>
      <c r="B110" s="108" t="s">
        <v>509</v>
      </c>
      <c r="C110" s="215" t="s">
        <v>402</v>
      </c>
      <c r="D110" s="211">
        <f>1.2-0.34</f>
        <v>0.85999999999999988</v>
      </c>
      <c r="E110" s="65">
        <f>E108</f>
        <v>5609.6</v>
      </c>
      <c r="F110" s="65">
        <f t="shared" si="0"/>
        <v>4824.2559999999994</v>
      </c>
      <c r="G110" s="65">
        <f t="shared" si="1"/>
        <v>5609.6</v>
      </c>
      <c r="H110" s="65">
        <f t="shared" si="2"/>
        <v>57891.071999999993</v>
      </c>
    </row>
    <row r="111" spans="1:11" s="159" customFormat="1" ht="22" customHeight="1" x14ac:dyDescent="0.35">
      <c r="A111" s="213"/>
      <c r="B111" s="108" t="s">
        <v>418</v>
      </c>
      <c r="C111" s="214" t="s">
        <v>402</v>
      </c>
      <c r="D111" s="271">
        <v>2.2000000000000002</v>
      </c>
      <c r="E111" s="65">
        <f t="shared" ref="E111" si="5">E110</f>
        <v>5609.6</v>
      </c>
      <c r="F111" s="65">
        <f t="shared" si="0"/>
        <v>12341.120000000003</v>
      </c>
      <c r="G111" s="65">
        <f t="shared" si="1"/>
        <v>5609.6</v>
      </c>
      <c r="H111" s="65">
        <f t="shared" si="2"/>
        <v>148093.44000000003</v>
      </c>
    </row>
    <row r="112" spans="1:11" s="159" customFormat="1" ht="38.5" customHeight="1" x14ac:dyDescent="0.35">
      <c r="A112" s="213"/>
      <c r="B112" s="108" t="s">
        <v>419</v>
      </c>
      <c r="C112" s="214" t="s">
        <v>402</v>
      </c>
      <c r="D112" s="211">
        <v>2.2000000000000002</v>
      </c>
      <c r="E112" s="65">
        <f>E110</f>
        <v>5609.6</v>
      </c>
      <c r="F112" s="65">
        <f t="shared" si="0"/>
        <v>12341.120000000003</v>
      </c>
      <c r="G112" s="65">
        <f t="shared" si="1"/>
        <v>5609.6</v>
      </c>
      <c r="H112" s="65">
        <f t="shared" si="2"/>
        <v>148093.44000000003</v>
      </c>
    </row>
    <row r="113" spans="1:18" s="159" customFormat="1" ht="22" customHeight="1" x14ac:dyDescent="0.35">
      <c r="A113" s="213"/>
      <c r="B113" s="108" t="s">
        <v>420</v>
      </c>
      <c r="C113" s="214" t="s">
        <v>402</v>
      </c>
      <c r="D113" s="83">
        <v>0.01</v>
      </c>
      <c r="E113" s="65">
        <f t="shared" ref="E113:E118" si="6">E112</f>
        <v>5609.6</v>
      </c>
      <c r="F113" s="65">
        <f t="shared" si="0"/>
        <v>56.096000000000004</v>
      </c>
      <c r="G113" s="65">
        <f t="shared" si="1"/>
        <v>5609.6</v>
      </c>
      <c r="H113" s="65">
        <f t="shared" si="2"/>
        <v>673.15200000000004</v>
      </c>
    </row>
    <row r="114" spans="1:18" s="159" customFormat="1" ht="22" customHeight="1" x14ac:dyDescent="0.35">
      <c r="A114" s="213"/>
      <c r="B114" s="108" t="s">
        <v>421</v>
      </c>
      <c r="C114" s="214"/>
      <c r="D114" s="83">
        <v>0.05</v>
      </c>
      <c r="E114" s="65">
        <f t="shared" si="6"/>
        <v>5609.6</v>
      </c>
      <c r="F114" s="65">
        <f t="shared" si="0"/>
        <v>280.48</v>
      </c>
      <c r="G114" s="65">
        <f t="shared" si="1"/>
        <v>5609.6</v>
      </c>
      <c r="H114" s="65">
        <f t="shared" si="2"/>
        <v>3365.76</v>
      </c>
    </row>
    <row r="115" spans="1:18" s="159" customFormat="1" ht="22" customHeight="1" x14ac:dyDescent="0.35">
      <c r="A115" s="213"/>
      <c r="B115" s="108" t="s">
        <v>422</v>
      </c>
      <c r="C115" s="214" t="s">
        <v>402</v>
      </c>
      <c r="D115" s="211">
        <v>0.05</v>
      </c>
      <c r="E115" s="65">
        <f t="shared" si="6"/>
        <v>5609.6</v>
      </c>
      <c r="F115" s="65">
        <f t="shared" si="0"/>
        <v>280.48</v>
      </c>
      <c r="G115" s="65">
        <f t="shared" si="1"/>
        <v>5609.6</v>
      </c>
      <c r="H115" s="65">
        <f t="shared" si="2"/>
        <v>3365.76</v>
      </c>
    </row>
    <row r="116" spans="1:18" s="159" customFormat="1" ht="15.5" customHeight="1" x14ac:dyDescent="0.35">
      <c r="A116" s="212" t="s">
        <v>449</v>
      </c>
      <c r="B116" s="108" t="s">
        <v>423</v>
      </c>
      <c r="C116" s="215" t="s">
        <v>402</v>
      </c>
      <c r="D116" s="211">
        <v>0.66</v>
      </c>
      <c r="E116" s="65">
        <f t="shared" si="6"/>
        <v>5609.6</v>
      </c>
      <c r="F116" s="65">
        <f t="shared" si="0"/>
        <v>3702.3360000000002</v>
      </c>
      <c r="G116" s="65">
        <f t="shared" si="1"/>
        <v>5609.6</v>
      </c>
      <c r="H116" s="65">
        <f t="shared" si="2"/>
        <v>44428.032000000007</v>
      </c>
    </row>
    <row r="117" spans="1:18" s="159" customFormat="1" ht="51" customHeight="1" x14ac:dyDescent="0.35">
      <c r="A117" s="272"/>
      <c r="B117" s="108" t="s">
        <v>305</v>
      </c>
      <c r="C117" s="215" t="s">
        <v>402</v>
      </c>
      <c r="D117" s="211">
        <v>0.01</v>
      </c>
      <c r="E117" s="65">
        <f t="shared" si="6"/>
        <v>5609.6</v>
      </c>
      <c r="F117" s="65">
        <f t="shared" si="0"/>
        <v>56.096000000000004</v>
      </c>
      <c r="G117" s="65">
        <f t="shared" si="1"/>
        <v>5609.6</v>
      </c>
      <c r="H117" s="65">
        <f t="shared" si="2"/>
        <v>673.15200000000004</v>
      </c>
    </row>
    <row r="118" spans="1:18" s="164" customFormat="1" ht="48" x14ac:dyDescent="0.35">
      <c r="A118" s="273"/>
      <c r="B118" s="266" t="s">
        <v>424</v>
      </c>
      <c r="C118" s="215" t="s">
        <v>402</v>
      </c>
      <c r="D118" s="267">
        <v>2.5499999999999998</v>
      </c>
      <c r="E118" s="216">
        <f t="shared" si="6"/>
        <v>5609.6</v>
      </c>
      <c r="F118" s="216">
        <f t="shared" si="0"/>
        <v>14304.48</v>
      </c>
      <c r="G118" s="216">
        <f t="shared" si="1"/>
        <v>5609.6</v>
      </c>
      <c r="H118" s="216">
        <f t="shared" si="2"/>
        <v>171653.76000000001</v>
      </c>
      <c r="K118" s="197">
        <f>H118</f>
        <v>171653.76000000001</v>
      </c>
      <c r="M118" s="197">
        <f>K118+K109+K102</f>
        <v>1083101.568</v>
      </c>
    </row>
    <row r="119" spans="1:18" s="159" customFormat="1" ht="108" x14ac:dyDescent="0.35">
      <c r="A119" s="272"/>
      <c r="B119" s="108" t="s">
        <v>425</v>
      </c>
      <c r="C119" s="215" t="s">
        <v>402</v>
      </c>
      <c r="D119" s="211">
        <v>1.39</v>
      </c>
      <c r="E119" s="65">
        <f>E117</f>
        <v>5609.6</v>
      </c>
      <c r="F119" s="65">
        <f t="shared" si="0"/>
        <v>7797.3440000000001</v>
      </c>
      <c r="G119" s="65">
        <f t="shared" si="1"/>
        <v>5609.6</v>
      </c>
      <c r="H119" s="65">
        <f t="shared" si="2"/>
        <v>93568.127999999997</v>
      </c>
      <c r="O119" s="159" t="s">
        <v>526</v>
      </c>
    </row>
    <row r="120" spans="1:18" s="159" customFormat="1" ht="72" customHeight="1" x14ac:dyDescent="0.35">
      <c r="A120" s="272"/>
      <c r="B120" s="108" t="s">
        <v>426</v>
      </c>
      <c r="C120" s="215" t="s">
        <v>402</v>
      </c>
      <c r="D120" s="211">
        <f>2.55-D119</f>
        <v>1.1599999999999999</v>
      </c>
      <c r="E120" s="65">
        <f>E119</f>
        <v>5609.6</v>
      </c>
      <c r="F120" s="65">
        <f t="shared" si="0"/>
        <v>6507.1360000000004</v>
      </c>
      <c r="G120" s="65">
        <f t="shared" si="1"/>
        <v>5609.6</v>
      </c>
      <c r="H120" s="65">
        <f t="shared" si="2"/>
        <v>78085.632000000012</v>
      </c>
      <c r="O120" s="159">
        <f>E120*8.6</f>
        <v>48242.559999999998</v>
      </c>
      <c r="P120" s="159">
        <f>'[31]2026'!$B$3</f>
        <v>68304.3</v>
      </c>
      <c r="Q120" s="159">
        <f>P120*12</f>
        <v>819651.60000000009</v>
      </c>
      <c r="R120" s="159" t="s">
        <v>528</v>
      </c>
    </row>
    <row r="121" spans="1:18" s="159" customFormat="1" ht="24" x14ac:dyDescent="0.35">
      <c r="A121" s="272"/>
      <c r="B121" s="266" t="s">
        <v>265</v>
      </c>
      <c r="C121" s="215" t="s">
        <v>402</v>
      </c>
      <c r="D121" s="267">
        <f>[2]ШК104!$C$19</f>
        <v>6.9104000000000001</v>
      </c>
      <c r="E121" s="216">
        <f>E120</f>
        <v>5609.6</v>
      </c>
      <c r="F121" s="216">
        <f t="shared" si="0"/>
        <v>38764.579840000006</v>
      </c>
      <c r="G121" s="216">
        <f t="shared" si="1"/>
        <v>5609.6</v>
      </c>
      <c r="H121" s="216">
        <f t="shared" si="2"/>
        <v>465174.95808000007</v>
      </c>
      <c r="O121" s="159">
        <v>2.1</v>
      </c>
      <c r="P121" s="159">
        <f>O121*E121</f>
        <v>11780.160000000002</v>
      </c>
      <c r="Q121" s="159">
        <f>P121*12</f>
        <v>141361.92000000001</v>
      </c>
      <c r="R121" s="436">
        <f>[30]Лист_1!$I$234-Q121</f>
        <v>170.73999999999069</v>
      </c>
    </row>
    <row r="122" spans="1:18" s="159" customFormat="1" x14ac:dyDescent="0.35">
      <c r="A122" s="272"/>
      <c r="B122" s="266" t="s">
        <v>427</v>
      </c>
      <c r="C122" s="215" t="s">
        <v>402</v>
      </c>
      <c r="D122" s="267">
        <f>[2]ШК104!$C$21</f>
        <v>7.9</v>
      </c>
      <c r="E122" s="216">
        <f>E121</f>
        <v>5609.6</v>
      </c>
      <c r="F122" s="216">
        <f t="shared" si="0"/>
        <v>44315.840000000004</v>
      </c>
      <c r="G122" s="216">
        <f t="shared" si="1"/>
        <v>5609.6</v>
      </c>
      <c r="H122" s="216">
        <f t="shared" si="2"/>
        <v>531790.08000000007</v>
      </c>
      <c r="O122" s="159">
        <v>6.5</v>
      </c>
      <c r="P122" s="159">
        <f>O122*E122</f>
        <v>36462.400000000001</v>
      </c>
      <c r="Q122" s="159">
        <f>P122*12</f>
        <v>437548.80000000005</v>
      </c>
      <c r="R122" s="436">
        <f>[30]Лист_1!$R$234-Q122</f>
        <v>5382.6899999999441</v>
      </c>
    </row>
    <row r="123" spans="1:18" s="159" customFormat="1" x14ac:dyDescent="0.35">
      <c r="A123" s="272"/>
      <c r="B123" s="266" t="s">
        <v>428</v>
      </c>
      <c r="C123" s="215" t="s">
        <v>402</v>
      </c>
      <c r="D123" s="267">
        <f>D122+D121+D118+D109+D102+D95</f>
        <v>31.320400000000003</v>
      </c>
      <c r="E123" s="216">
        <f>E122</f>
        <v>5609.6</v>
      </c>
      <c r="F123" s="216">
        <f t="shared" si="0"/>
        <v>175694.91584000003</v>
      </c>
      <c r="G123" s="216">
        <f t="shared" si="1"/>
        <v>5609.6</v>
      </c>
      <c r="H123" s="216">
        <f t="shared" si="2"/>
        <v>2108338.9900800004</v>
      </c>
      <c r="O123" s="159" t="s">
        <v>527</v>
      </c>
      <c r="P123" s="159">
        <f>P120-P121-P122</f>
        <v>20061.739999999998</v>
      </c>
      <c r="Q123" s="159">
        <f>P123*12</f>
        <v>240740.87999999998</v>
      </c>
    </row>
    <row r="124" spans="1:18" ht="43.5" customHeight="1" x14ac:dyDescent="0.35">
      <c r="A124" s="304"/>
      <c r="B124" s="305"/>
      <c r="C124" s="305"/>
      <c r="D124" s="305"/>
      <c r="E124" s="305"/>
      <c r="F124" s="305"/>
      <c r="G124" s="305"/>
      <c r="H124" s="305"/>
    </row>
    <row r="125" spans="1:18" s="57" customFormat="1" x14ac:dyDescent="0.35">
      <c r="A125" s="102" t="s">
        <v>0</v>
      </c>
      <c r="B125" s="330" t="s">
        <v>2</v>
      </c>
      <c r="C125" s="330" t="s">
        <v>3</v>
      </c>
      <c r="D125" s="316" t="s">
        <v>4</v>
      </c>
      <c r="E125" s="316"/>
      <c r="F125" s="316"/>
      <c r="G125" s="316"/>
      <c r="H125" s="316"/>
    </row>
    <row r="126" spans="1:18" s="57" customFormat="1" x14ac:dyDescent="0.35">
      <c r="A126" s="285" t="s">
        <v>1</v>
      </c>
      <c r="B126" s="330"/>
      <c r="C126" s="330"/>
      <c r="D126" s="316"/>
      <c r="E126" s="316"/>
      <c r="F126" s="316"/>
      <c r="G126" s="316"/>
      <c r="H126" s="316"/>
    </row>
    <row r="127" spans="1:18" s="57" customFormat="1" ht="24.5" customHeight="1" x14ac:dyDescent="0.35">
      <c r="A127" s="291">
        <v>1</v>
      </c>
      <c r="B127" s="296" t="s">
        <v>302</v>
      </c>
      <c r="C127" s="291" t="s">
        <v>298</v>
      </c>
      <c r="D127" s="311">
        <f>[29]ШК104!$C$22</f>
        <v>7.9</v>
      </c>
      <c r="E127" s="311"/>
      <c r="F127" s="311"/>
      <c r="G127" s="311"/>
      <c r="H127" s="311"/>
      <c r="K127" s="57">
        <v>13438.42</v>
      </c>
      <c r="M127" s="57">
        <f>K127*D127</f>
        <v>106163.51800000001</v>
      </c>
      <c r="N127" s="57">
        <f>M127*12</f>
        <v>1273962.216</v>
      </c>
    </row>
    <row r="128" spans="1:18" s="57" customFormat="1" x14ac:dyDescent="0.35">
      <c r="A128" s="291">
        <v>2</v>
      </c>
      <c r="B128" s="292" t="s">
        <v>430</v>
      </c>
      <c r="C128" s="291" t="s">
        <v>143</v>
      </c>
      <c r="D128" s="311">
        <f>[30]Лист_1!$AG$237</f>
        <v>555725.85817369085</v>
      </c>
      <c r="E128" s="311"/>
      <c r="F128" s="311"/>
      <c r="G128" s="311"/>
      <c r="H128" s="311"/>
    </row>
    <row r="129" spans="1:15" s="57" customFormat="1" x14ac:dyDescent="0.35">
      <c r="A129" s="291">
        <v>3</v>
      </c>
      <c r="B129" s="292" t="s">
        <v>258</v>
      </c>
      <c r="C129" s="291" t="s">
        <v>7</v>
      </c>
      <c r="D129" s="311" t="s">
        <v>304</v>
      </c>
      <c r="E129" s="311"/>
      <c r="F129" s="311"/>
      <c r="G129" s="311"/>
      <c r="H129" s="311"/>
    </row>
    <row r="130" spans="1:15" s="57" customFormat="1" x14ac:dyDescent="0.35">
      <c r="A130" s="291">
        <v>4</v>
      </c>
      <c r="B130" s="295" t="s">
        <v>350</v>
      </c>
      <c r="C130" s="291"/>
      <c r="D130" s="311">
        <f>[4]ШК104!$D$91</f>
        <v>524949.66</v>
      </c>
      <c r="E130" s="311"/>
      <c r="F130" s="311"/>
      <c r="G130" s="311"/>
      <c r="H130" s="311"/>
    </row>
    <row r="131" spans="1:15" s="57" customFormat="1" x14ac:dyDescent="0.35">
      <c r="A131" s="291">
        <v>5</v>
      </c>
      <c r="B131" s="295" t="s">
        <v>351</v>
      </c>
      <c r="C131" s="291"/>
      <c r="D131" s="310">
        <f>[4]ШК104!$D$92</f>
        <v>223665.58866640623</v>
      </c>
      <c r="E131" s="311"/>
      <c r="F131" s="311"/>
      <c r="G131" s="311"/>
      <c r="H131" s="311"/>
    </row>
    <row r="132" spans="1:15" s="57" customFormat="1" x14ac:dyDescent="0.35">
      <c r="A132" s="291">
        <v>6</v>
      </c>
      <c r="B132" s="292" t="s">
        <v>148</v>
      </c>
      <c r="C132" s="291" t="s">
        <v>7</v>
      </c>
      <c r="D132" s="311" t="s">
        <v>273</v>
      </c>
      <c r="E132" s="311"/>
      <c r="F132" s="311"/>
      <c r="G132" s="311"/>
      <c r="H132" s="311"/>
    </row>
    <row r="133" spans="1:15" s="57" customFormat="1" ht="15.5" hidden="1" customHeight="1" x14ac:dyDescent="0.35">
      <c r="A133" s="102" t="s">
        <v>0</v>
      </c>
      <c r="B133" s="330" t="s">
        <v>2</v>
      </c>
      <c r="C133" s="330" t="s">
        <v>3</v>
      </c>
      <c r="D133" s="311" t="s">
        <v>4</v>
      </c>
      <c r="E133" s="311"/>
      <c r="F133" s="311"/>
      <c r="G133" s="311"/>
      <c r="H133" s="311"/>
    </row>
    <row r="134" spans="1:15" s="57" customFormat="1" ht="15.5" hidden="1" customHeight="1" x14ac:dyDescent="0.35">
      <c r="A134" s="285" t="s">
        <v>1</v>
      </c>
      <c r="B134" s="330"/>
      <c r="C134" s="330"/>
      <c r="D134" s="311"/>
      <c r="E134" s="311"/>
      <c r="F134" s="311"/>
      <c r="G134" s="311"/>
      <c r="H134" s="311"/>
    </row>
    <row r="135" spans="1:15" s="57" customFormat="1" ht="41" hidden="1" customHeight="1" x14ac:dyDescent="0.35">
      <c r="A135" s="291">
        <v>1</v>
      </c>
      <c r="B135" s="296" t="s">
        <v>265</v>
      </c>
      <c r="C135" s="291" t="s">
        <v>7</v>
      </c>
      <c r="D135" s="311">
        <f>[2]КБ40Б!$B$31</f>
        <v>5.0200000000000005</v>
      </c>
      <c r="E135" s="311">
        <f>D135</f>
        <v>5.0200000000000005</v>
      </c>
      <c r="F135" s="311"/>
      <c r="G135" s="311"/>
      <c r="H135" s="311"/>
      <c r="K135" s="57">
        <v>13438.42</v>
      </c>
      <c r="M135" s="57">
        <f>K135*D135</f>
        <v>67460.868400000007</v>
      </c>
      <c r="N135" s="57">
        <f>M135*12</f>
        <v>809530.42080000008</v>
      </c>
    </row>
    <row r="136" spans="1:15" s="57" customFormat="1" ht="16" hidden="1" customHeight="1" x14ac:dyDescent="0.35">
      <c r="A136" s="291">
        <v>2</v>
      </c>
      <c r="B136" s="292" t="s">
        <v>142</v>
      </c>
      <c r="C136" s="291" t="s">
        <v>143</v>
      </c>
      <c r="D136" s="311">
        <f>[2]КБ40Б!$G$31</f>
        <v>851464.09659744019</v>
      </c>
      <c r="E136" s="311"/>
      <c r="F136" s="311">
        <f>D136</f>
        <v>851464.09659744019</v>
      </c>
      <c r="G136" s="311"/>
      <c r="H136" s="311"/>
    </row>
    <row r="137" spans="1:15" s="57" customFormat="1" ht="39" hidden="1" customHeight="1" x14ac:dyDescent="0.35">
      <c r="A137" s="291">
        <v>3</v>
      </c>
      <c r="B137" s="292" t="s">
        <v>258</v>
      </c>
      <c r="C137" s="291" t="s">
        <v>7</v>
      </c>
      <c r="D137" s="311" t="s">
        <v>324</v>
      </c>
      <c r="E137" s="311">
        <f>SUM(E61:E136)</f>
        <v>162683.42000000007</v>
      </c>
      <c r="F137" s="311">
        <f>SUM(F61:F136)</f>
        <v>1295468.4242774402</v>
      </c>
      <c r="G137" s="311"/>
      <c r="H137" s="311"/>
    </row>
    <row r="138" spans="1:15" s="57" customFormat="1" ht="16" hidden="1" customHeight="1" x14ac:dyDescent="0.35">
      <c r="A138" s="291">
        <v>4</v>
      </c>
      <c r="B138" s="292" t="s">
        <v>148</v>
      </c>
      <c r="C138" s="291" t="s">
        <v>7</v>
      </c>
      <c r="D138" s="311" t="s">
        <v>155</v>
      </c>
      <c r="E138" s="311"/>
      <c r="F138" s="311"/>
      <c r="G138" s="311"/>
      <c r="H138" s="311"/>
    </row>
    <row r="139" spans="1:15" s="57" customFormat="1" x14ac:dyDescent="0.35">
      <c r="A139" s="102" t="s">
        <v>0</v>
      </c>
      <c r="B139" s="330" t="s">
        <v>2</v>
      </c>
      <c r="C139" s="330" t="s">
        <v>3</v>
      </c>
      <c r="D139" s="311" t="s">
        <v>4</v>
      </c>
      <c r="E139" s="311"/>
      <c r="F139" s="311"/>
      <c r="G139" s="311"/>
      <c r="H139" s="311"/>
    </row>
    <row r="140" spans="1:15" s="57" customFormat="1" x14ac:dyDescent="0.35">
      <c r="A140" s="285" t="s">
        <v>1</v>
      </c>
      <c r="B140" s="330"/>
      <c r="C140" s="330"/>
      <c r="D140" s="311"/>
      <c r="E140" s="311"/>
      <c r="F140" s="311"/>
      <c r="G140" s="311"/>
      <c r="H140" s="311"/>
    </row>
    <row r="141" spans="1:15" s="57" customFormat="1" ht="19.5" customHeight="1" x14ac:dyDescent="0.35">
      <c r="A141" s="291">
        <v>1</v>
      </c>
      <c r="B141" s="296" t="s">
        <v>518</v>
      </c>
      <c r="C141" s="291" t="s">
        <v>7</v>
      </c>
      <c r="D141" s="311"/>
      <c r="E141" s="311"/>
      <c r="F141" s="311"/>
      <c r="G141" s="311"/>
      <c r="H141" s="311"/>
      <c r="K141" s="57">
        <v>13438.42</v>
      </c>
      <c r="M141" s="57">
        <f>K141*D141</f>
        <v>0</v>
      </c>
      <c r="N141" s="57">
        <f>M141*12</f>
        <v>0</v>
      </c>
    </row>
    <row r="142" spans="1:15" s="57" customFormat="1" x14ac:dyDescent="0.35">
      <c r="A142" s="291">
        <v>2</v>
      </c>
      <c r="B142" s="292" t="s">
        <v>142</v>
      </c>
      <c r="C142" s="291" t="s">
        <v>143</v>
      </c>
      <c r="D142" s="310"/>
      <c r="E142" s="311"/>
      <c r="F142" s="311"/>
      <c r="G142" s="311"/>
      <c r="H142" s="311"/>
      <c r="N142" s="57">
        <v>1988010.53</v>
      </c>
      <c r="O142" s="57" t="s">
        <v>325</v>
      </c>
    </row>
    <row r="143" spans="1:15" s="57" customFormat="1" x14ac:dyDescent="0.35">
      <c r="A143" s="291">
        <v>3</v>
      </c>
      <c r="B143" s="292" t="s">
        <v>258</v>
      </c>
      <c r="C143" s="291" t="s">
        <v>7</v>
      </c>
      <c r="D143" s="311"/>
      <c r="E143" s="311"/>
      <c r="F143" s="311"/>
      <c r="G143" s="311"/>
      <c r="H143" s="311"/>
      <c r="N143" s="57">
        <f>N142-N141</f>
        <v>1988010.53</v>
      </c>
    </row>
    <row r="144" spans="1:15" s="57" customFormat="1" x14ac:dyDescent="0.35">
      <c r="A144" s="291">
        <v>4</v>
      </c>
      <c r="B144" s="292" t="s">
        <v>148</v>
      </c>
      <c r="C144" s="291" t="s">
        <v>7</v>
      </c>
      <c r="D144" s="311" t="s">
        <v>155</v>
      </c>
      <c r="E144" s="311"/>
      <c r="F144" s="311"/>
      <c r="G144" s="311"/>
      <c r="H144" s="311"/>
    </row>
    <row r="145" spans="1:16" s="57" customFormat="1" hidden="1" x14ac:dyDescent="0.35">
      <c r="A145" s="102" t="s">
        <v>0</v>
      </c>
      <c r="B145" s="330" t="s">
        <v>2</v>
      </c>
      <c r="C145" s="330" t="s">
        <v>3</v>
      </c>
      <c r="D145" s="311" t="s">
        <v>4</v>
      </c>
      <c r="E145" s="311"/>
      <c r="F145" s="311"/>
      <c r="G145" s="311"/>
      <c r="H145" s="311"/>
    </row>
    <row r="146" spans="1:16" s="57" customFormat="1" hidden="1" x14ac:dyDescent="0.35">
      <c r="A146" s="285" t="s">
        <v>1</v>
      </c>
      <c r="B146" s="330"/>
      <c r="C146" s="330"/>
      <c r="D146" s="311"/>
      <c r="E146" s="311"/>
      <c r="F146" s="311"/>
      <c r="G146" s="311"/>
      <c r="H146" s="311"/>
    </row>
    <row r="147" spans="1:16" s="57" customFormat="1" ht="38" hidden="1" customHeight="1" x14ac:dyDescent="0.35">
      <c r="A147" s="291">
        <v>1</v>
      </c>
      <c r="B147" s="296" t="str">
        <f>[5]Лист_1!$N$7</f>
        <v>Доп.усл.по оформл.платеж.док-в на опл. взнос. на кап.ремонт</v>
      </c>
      <c r="C147" s="291" t="s">
        <v>297</v>
      </c>
      <c r="D147" s="311">
        <v>6</v>
      </c>
      <c r="E147" s="311"/>
      <c r="F147" s="311"/>
      <c r="G147" s="311"/>
      <c r="H147" s="311"/>
      <c r="K147" s="57">
        <f>D147*192</f>
        <v>1152</v>
      </c>
      <c r="L147" s="57">
        <f>K147*12</f>
        <v>13824</v>
      </c>
    </row>
    <row r="148" spans="1:16" s="57" customFormat="1" hidden="1" x14ac:dyDescent="0.35">
      <c r="A148" s="291">
        <v>2</v>
      </c>
      <c r="B148" s="292" t="s">
        <v>142</v>
      </c>
      <c r="C148" s="291" t="s">
        <v>143</v>
      </c>
      <c r="D148" s="310">
        <f>[13]Лист_1!$AP$404</f>
        <v>135418.95000000001</v>
      </c>
      <c r="E148" s="311"/>
      <c r="F148" s="311"/>
      <c r="G148" s="311"/>
      <c r="H148" s="311"/>
    </row>
    <row r="149" spans="1:16" s="57" customFormat="1" hidden="1" x14ac:dyDescent="0.35">
      <c r="A149" s="291">
        <v>3</v>
      </c>
      <c r="B149" s="292" t="s">
        <v>258</v>
      </c>
      <c r="C149" s="291" t="s">
        <v>7</v>
      </c>
      <c r="D149" s="311" t="s">
        <v>272</v>
      </c>
      <c r="E149" s="311"/>
      <c r="F149" s="311"/>
      <c r="G149" s="311"/>
      <c r="H149" s="311"/>
    </row>
    <row r="150" spans="1:16" s="57" customFormat="1" hidden="1" x14ac:dyDescent="0.35">
      <c r="A150" s="291">
        <v>4</v>
      </c>
      <c r="B150" s="292" t="s">
        <v>148</v>
      </c>
      <c r="C150" s="291" t="s">
        <v>7</v>
      </c>
      <c r="D150" s="311" t="s">
        <v>155</v>
      </c>
      <c r="E150" s="311"/>
      <c r="F150" s="311"/>
      <c r="G150" s="311"/>
      <c r="H150" s="311"/>
    </row>
    <row r="151" spans="1:16" s="57" customFormat="1" hidden="1" x14ac:dyDescent="0.35">
      <c r="A151" s="102" t="s">
        <v>0</v>
      </c>
      <c r="B151" s="330" t="s">
        <v>2</v>
      </c>
      <c r="C151" s="330" t="s">
        <v>3</v>
      </c>
      <c r="D151" s="311" t="s">
        <v>4</v>
      </c>
      <c r="E151" s="311"/>
      <c r="F151" s="311"/>
      <c r="G151" s="311"/>
      <c r="H151" s="311"/>
    </row>
    <row r="152" spans="1:16" s="57" customFormat="1" hidden="1" x14ac:dyDescent="0.35">
      <c r="A152" s="285" t="s">
        <v>1</v>
      </c>
      <c r="B152" s="330"/>
      <c r="C152" s="330"/>
      <c r="D152" s="311"/>
      <c r="E152" s="311"/>
      <c r="F152" s="311"/>
      <c r="G152" s="311"/>
      <c r="H152" s="311"/>
    </row>
    <row r="153" spans="1:16" s="57" customFormat="1" ht="25.5" customHeight="1" x14ac:dyDescent="0.35">
      <c r="A153" s="291">
        <v>1</v>
      </c>
      <c r="B153" s="296" t="s">
        <v>519</v>
      </c>
      <c r="C153" s="291" t="s">
        <v>141</v>
      </c>
      <c r="D153" s="311"/>
      <c r="E153" s="311"/>
      <c r="F153" s="311"/>
      <c r="G153" s="311"/>
      <c r="H153" s="311"/>
      <c r="J153" s="57" t="e">
        <f>0.55*#REF!</f>
        <v>#REF!</v>
      </c>
      <c r="K153" s="57" t="e">
        <f>J153*12</f>
        <v>#REF!</v>
      </c>
    </row>
    <row r="154" spans="1:16" s="57" customFormat="1" x14ac:dyDescent="0.35">
      <c r="A154" s="291">
        <v>2</v>
      </c>
      <c r="B154" s="292" t="s">
        <v>142</v>
      </c>
      <c r="C154" s="291" t="s">
        <v>143</v>
      </c>
      <c r="D154" s="310"/>
      <c r="E154" s="311"/>
      <c r="F154" s="311"/>
      <c r="G154" s="311"/>
      <c r="H154" s="311"/>
      <c r="K154" s="57">
        <f>D153*50*12</f>
        <v>0</v>
      </c>
      <c r="L154" s="57">
        <f>K154/900</f>
        <v>0</v>
      </c>
      <c r="N154" s="58">
        <f>[3]Лист_1!$S$400</f>
        <v>542700</v>
      </c>
      <c r="O154" s="57">
        <f>N154/12</f>
        <v>45225</v>
      </c>
      <c r="P154" s="57">
        <f>O154/900</f>
        <v>50.25</v>
      </c>
    </row>
    <row r="155" spans="1:16" s="57" customFormat="1" x14ac:dyDescent="0.35">
      <c r="A155" s="291">
        <v>3</v>
      </c>
      <c r="B155" s="292" t="s">
        <v>258</v>
      </c>
      <c r="C155" s="291" t="s">
        <v>7</v>
      </c>
      <c r="D155" s="311"/>
      <c r="E155" s="311"/>
      <c r="F155" s="311"/>
      <c r="G155" s="311"/>
      <c r="H155" s="311"/>
    </row>
    <row r="156" spans="1:16" s="57" customFormat="1" x14ac:dyDescent="0.35">
      <c r="A156" s="291">
        <v>4</v>
      </c>
      <c r="B156" s="292" t="s">
        <v>377</v>
      </c>
      <c r="C156" s="291" t="str">
        <f>C154</f>
        <v>Руб.</v>
      </c>
      <c r="D156" s="310"/>
      <c r="E156" s="311"/>
      <c r="F156" s="311"/>
      <c r="G156" s="311"/>
      <c r="H156" s="311"/>
      <c r="J156" s="57" t="s">
        <v>379</v>
      </c>
    </row>
    <row r="157" spans="1:16" s="57" customFormat="1" x14ac:dyDescent="0.35">
      <c r="A157" s="291">
        <v>6</v>
      </c>
      <c r="B157" s="292" t="s">
        <v>148</v>
      </c>
      <c r="C157" s="291" t="s">
        <v>7</v>
      </c>
      <c r="D157" s="311" t="str">
        <f>D144</f>
        <v>Ежедневно</v>
      </c>
      <c r="E157" s="311"/>
      <c r="F157" s="311"/>
      <c r="G157" s="311"/>
      <c r="H157" s="311"/>
    </row>
    <row r="158" spans="1:16" s="57" customFormat="1" x14ac:dyDescent="0.35">
      <c r="A158" s="102" t="s">
        <v>0</v>
      </c>
      <c r="B158" s="330" t="s">
        <v>2</v>
      </c>
      <c r="C158" s="330" t="s">
        <v>3</v>
      </c>
      <c r="D158" s="311" t="s">
        <v>4</v>
      </c>
      <c r="E158" s="311"/>
      <c r="F158" s="311"/>
      <c r="G158" s="311"/>
      <c r="H158" s="311"/>
    </row>
    <row r="159" spans="1:16" s="57" customFormat="1" x14ac:dyDescent="0.35">
      <c r="A159" s="285" t="s">
        <v>1</v>
      </c>
      <c r="B159" s="330"/>
      <c r="C159" s="330"/>
      <c r="D159" s="311"/>
      <c r="E159" s="311"/>
      <c r="F159" s="311"/>
      <c r="G159" s="311"/>
      <c r="H159" s="311"/>
    </row>
    <row r="160" spans="1:16" s="57" customFormat="1" ht="16" hidden="1" customHeight="1" x14ac:dyDescent="0.35">
      <c r="A160" s="291" t="s">
        <v>5</v>
      </c>
      <c r="B160" s="292" t="s">
        <v>6</v>
      </c>
      <c r="C160" s="291" t="s">
        <v>7</v>
      </c>
      <c r="D160" s="311">
        <v>43851</v>
      </c>
      <c r="E160" s="311"/>
      <c r="F160" s="311"/>
      <c r="G160" s="311"/>
      <c r="H160" s="311"/>
    </row>
    <row r="161" spans="1:11" s="57" customFormat="1" x14ac:dyDescent="0.35">
      <c r="A161" s="291">
        <v>1</v>
      </c>
      <c r="B161" s="292" t="s">
        <v>149</v>
      </c>
      <c r="C161" s="291" t="s">
        <v>7</v>
      </c>
      <c r="D161" s="311" t="s">
        <v>157</v>
      </c>
      <c r="E161" s="311"/>
      <c r="F161" s="311"/>
      <c r="G161" s="311"/>
      <c r="H161" s="311"/>
    </row>
    <row r="162" spans="1:11" s="57" customFormat="1" x14ac:dyDescent="0.35">
      <c r="A162" s="291">
        <v>2</v>
      </c>
      <c r="B162" s="292" t="s">
        <v>154</v>
      </c>
      <c r="C162" s="291" t="s">
        <v>7</v>
      </c>
      <c r="D162" s="311" t="s">
        <v>158</v>
      </c>
      <c r="E162" s="311"/>
      <c r="F162" s="311"/>
      <c r="G162" s="311"/>
      <c r="H162" s="311"/>
    </row>
    <row r="163" spans="1:11" s="57" customFormat="1" x14ac:dyDescent="0.35">
      <c r="A163" s="291">
        <v>3</v>
      </c>
      <c r="B163" s="292" t="s">
        <v>264</v>
      </c>
      <c r="C163" s="125"/>
      <c r="D163" s="311"/>
      <c r="E163" s="311"/>
      <c r="F163" s="311"/>
      <c r="G163" s="311"/>
      <c r="H163" s="311"/>
    </row>
    <row r="164" spans="1:11" s="57" customFormat="1" x14ac:dyDescent="0.35">
      <c r="A164" s="291" t="s">
        <v>218</v>
      </c>
      <c r="B164" s="295" t="s">
        <v>353</v>
      </c>
      <c r="C164" s="126" t="s">
        <v>308</v>
      </c>
      <c r="D164" s="311">
        <v>0.105</v>
      </c>
      <c r="E164" s="311"/>
      <c r="F164" s="311"/>
      <c r="G164" s="311"/>
      <c r="H164" s="311"/>
    </row>
    <row r="165" spans="1:11" s="57" customFormat="1" x14ac:dyDescent="0.35">
      <c r="A165" s="291" t="s">
        <v>219</v>
      </c>
      <c r="B165" s="295" t="s">
        <v>354</v>
      </c>
      <c r="C165" s="126" t="s">
        <v>308</v>
      </c>
      <c r="D165" s="311">
        <v>0.34899999999999998</v>
      </c>
      <c r="E165" s="311"/>
      <c r="F165" s="311"/>
      <c r="G165" s="311"/>
      <c r="H165" s="311"/>
    </row>
    <row r="166" spans="1:11" s="57" customFormat="1" x14ac:dyDescent="0.35">
      <c r="A166" s="291" t="s">
        <v>221</v>
      </c>
      <c r="B166" s="295" t="s">
        <v>161</v>
      </c>
      <c r="C166" s="126" t="s">
        <v>309</v>
      </c>
      <c r="D166" s="311">
        <v>0.105</v>
      </c>
      <c r="E166" s="311"/>
      <c r="F166" s="311"/>
      <c r="G166" s="311"/>
      <c r="H166" s="311"/>
    </row>
    <row r="167" spans="1:11" s="57" customFormat="1" x14ac:dyDescent="0.35">
      <c r="A167" s="291" t="s">
        <v>222</v>
      </c>
      <c r="B167" s="295" t="s">
        <v>163</v>
      </c>
      <c r="C167" s="126" t="s">
        <v>310</v>
      </c>
      <c r="D167" s="311">
        <v>2.254</v>
      </c>
      <c r="E167" s="311"/>
      <c r="F167" s="311"/>
      <c r="G167" s="311"/>
      <c r="H167" s="311"/>
    </row>
    <row r="168" spans="1:11" s="57" customFormat="1" x14ac:dyDescent="0.35">
      <c r="A168" s="291" t="s">
        <v>355</v>
      </c>
      <c r="B168" s="295" t="s">
        <v>165</v>
      </c>
      <c r="C168" s="126" t="s">
        <v>311</v>
      </c>
      <c r="D168" s="311">
        <v>0.185</v>
      </c>
      <c r="E168" s="311"/>
      <c r="F168" s="311"/>
      <c r="G168" s="311"/>
      <c r="H168" s="311"/>
    </row>
    <row r="169" spans="1:11" s="57" customFormat="1" x14ac:dyDescent="0.35">
      <c r="A169" s="291">
        <v>4</v>
      </c>
      <c r="B169" s="332" t="s">
        <v>477</v>
      </c>
      <c r="C169" s="332"/>
      <c r="D169" s="332"/>
      <c r="E169" s="332"/>
      <c r="F169" s="332"/>
      <c r="G169" s="332"/>
      <c r="H169" s="332"/>
    </row>
    <row r="170" spans="1:11" s="57" customFormat="1" x14ac:dyDescent="0.35">
      <c r="A170" s="291" t="s">
        <v>159</v>
      </c>
      <c r="B170" s="295" t="s">
        <v>356</v>
      </c>
      <c r="C170" s="126" t="s">
        <v>141</v>
      </c>
      <c r="D170" s="310"/>
      <c r="E170" s="311"/>
      <c r="F170" s="311"/>
      <c r="G170" s="311"/>
      <c r="H170" s="311"/>
      <c r="K170" s="58"/>
    </row>
    <row r="171" spans="1:11" s="57" customFormat="1" x14ac:dyDescent="0.35">
      <c r="A171" s="291" t="s">
        <v>160</v>
      </c>
      <c r="B171" s="295" t="s">
        <v>357</v>
      </c>
      <c r="C171" s="126"/>
      <c r="D171" s="310">
        <f>[30]Лист_1!$K$234</f>
        <v>7517.31</v>
      </c>
      <c r="E171" s="311"/>
      <c r="F171" s="311"/>
      <c r="G171" s="311"/>
      <c r="H171" s="311"/>
      <c r="K171" s="58"/>
    </row>
    <row r="172" spans="1:11" s="57" customFormat="1" x14ac:dyDescent="0.35">
      <c r="A172" s="291" t="s">
        <v>162</v>
      </c>
      <c r="B172" s="295" t="s">
        <v>161</v>
      </c>
      <c r="C172" s="126" t="s">
        <v>141</v>
      </c>
      <c r="D172" s="310">
        <f>[30]Лист_1!$L$234+[30]Лист_1!$M$234</f>
        <v>27535.18</v>
      </c>
      <c r="E172" s="311"/>
      <c r="F172" s="311"/>
      <c r="G172" s="311"/>
      <c r="H172" s="311"/>
      <c r="J172" s="57" t="s">
        <v>520</v>
      </c>
    </row>
    <row r="173" spans="1:11" s="57" customFormat="1" x14ac:dyDescent="0.35">
      <c r="A173" s="291" t="s">
        <v>164</v>
      </c>
      <c r="B173" s="295" t="s">
        <v>163</v>
      </c>
      <c r="C173" s="126" t="s">
        <v>141</v>
      </c>
      <c r="D173" s="310">
        <f>[30]Лист_1!$U$234</f>
        <v>168622.85</v>
      </c>
      <c r="E173" s="311"/>
      <c r="F173" s="311"/>
      <c r="G173" s="311"/>
      <c r="H173" s="311"/>
    </row>
    <row r="174" spans="1:11" s="57" customFormat="1" x14ac:dyDescent="0.35">
      <c r="A174" s="291" t="s">
        <v>358</v>
      </c>
      <c r="B174" s="295" t="s">
        <v>165</v>
      </c>
      <c r="C174" s="126" t="s">
        <v>141</v>
      </c>
      <c r="D174" s="310">
        <f>[30]Лист_1!$H$234</f>
        <v>10860.67</v>
      </c>
      <c r="E174" s="311"/>
      <c r="F174" s="311"/>
      <c r="G174" s="311"/>
      <c r="H174" s="311"/>
    </row>
    <row r="175" spans="1:11" s="57" customFormat="1" x14ac:dyDescent="0.35">
      <c r="A175" s="291">
        <v>5</v>
      </c>
      <c r="B175" s="295" t="s">
        <v>476</v>
      </c>
      <c r="C175" s="126" t="s">
        <v>141</v>
      </c>
      <c r="D175" s="310">
        <f>[30]Лист_1!$V$234</f>
        <v>-88517.9</v>
      </c>
      <c r="E175" s="311"/>
      <c r="F175" s="311"/>
      <c r="G175" s="311"/>
      <c r="H175" s="311"/>
    </row>
    <row r="176" spans="1:11" s="57" customFormat="1" x14ac:dyDescent="0.35">
      <c r="A176" s="291" t="s">
        <v>21</v>
      </c>
      <c r="B176" s="295" t="s">
        <v>521</v>
      </c>
      <c r="C176" s="126" t="s">
        <v>141</v>
      </c>
      <c r="D176" s="310">
        <v>118221.91</v>
      </c>
      <c r="E176" s="311"/>
      <c r="F176" s="311"/>
      <c r="G176" s="311"/>
      <c r="H176" s="311"/>
    </row>
    <row r="177" spans="1:8" s="57" customFormat="1" x14ac:dyDescent="0.35">
      <c r="A177" s="291" t="s">
        <v>23</v>
      </c>
      <c r="B177" s="295" t="s">
        <v>522</v>
      </c>
      <c r="C177" s="126" t="s">
        <v>141</v>
      </c>
      <c r="D177" s="310">
        <v>122890.35</v>
      </c>
      <c r="E177" s="311"/>
      <c r="F177" s="311"/>
      <c r="G177" s="311"/>
      <c r="H177" s="311"/>
    </row>
    <row r="178" spans="1:8" s="57" customFormat="1" x14ac:dyDescent="0.35">
      <c r="A178" s="291" t="s">
        <v>26</v>
      </c>
      <c r="B178" s="295" t="s">
        <v>144</v>
      </c>
      <c r="C178" s="126" t="s">
        <v>7</v>
      </c>
      <c r="D178" s="311" t="s">
        <v>478</v>
      </c>
      <c r="E178" s="311"/>
      <c r="F178" s="311"/>
      <c r="G178" s="311"/>
      <c r="H178" s="311"/>
    </row>
    <row r="179" spans="1:8" hidden="1" x14ac:dyDescent="0.35">
      <c r="A179" s="100"/>
      <c r="B179" s="101"/>
      <c r="C179" s="101"/>
      <c r="D179" s="101"/>
      <c r="E179" s="57"/>
      <c r="F179" s="57"/>
      <c r="G179" s="57"/>
      <c r="H179" s="57"/>
    </row>
    <row r="180" spans="1:8" hidden="1" x14ac:dyDescent="0.35">
      <c r="A180" s="120"/>
      <c r="B180" s="121"/>
      <c r="C180" s="121"/>
      <c r="D180" s="121"/>
      <c r="E180" s="57"/>
      <c r="F180" s="57"/>
      <c r="G180" s="57"/>
      <c r="H180" s="57"/>
    </row>
    <row r="181" spans="1:8" s="57" customFormat="1" ht="31" customHeight="1" x14ac:dyDescent="0.35">
      <c r="A181" s="291" t="s">
        <v>29</v>
      </c>
      <c r="B181" s="292" t="s">
        <v>145</v>
      </c>
      <c r="C181" s="291" t="s">
        <v>7</v>
      </c>
      <c r="D181" s="333" t="s">
        <v>429</v>
      </c>
      <c r="E181" s="333"/>
      <c r="F181" s="333"/>
      <c r="G181" s="333"/>
      <c r="H181" s="333"/>
    </row>
    <row r="182" spans="1:8" x14ac:dyDescent="0.35">
      <c r="A182" s="131"/>
      <c r="B182" s="57"/>
      <c r="C182" s="57"/>
      <c r="D182" s="57"/>
      <c r="E182" s="57"/>
      <c r="F182" s="57"/>
      <c r="G182" s="57"/>
      <c r="H182" s="57"/>
    </row>
    <row r="183" spans="1:8" x14ac:dyDescent="0.35">
      <c r="A183" s="368" t="s">
        <v>206</v>
      </c>
      <c r="B183" s="368"/>
      <c r="C183" s="368"/>
      <c r="D183" s="368"/>
      <c r="E183" s="57"/>
      <c r="F183" s="57"/>
      <c r="G183" s="57"/>
      <c r="H183" s="57"/>
    </row>
    <row r="184" spans="1:8" x14ac:dyDescent="0.35">
      <c r="A184" s="131"/>
      <c r="B184" s="57"/>
      <c r="C184" s="57"/>
      <c r="D184" s="57"/>
      <c r="E184" s="57"/>
      <c r="F184" s="57"/>
      <c r="G184" s="57"/>
      <c r="H184" s="57"/>
    </row>
    <row r="185" spans="1:8" x14ac:dyDescent="0.35">
      <c r="A185" s="102" t="s">
        <v>0</v>
      </c>
      <c r="B185" s="330" t="s">
        <v>2</v>
      </c>
      <c r="C185" s="330" t="s">
        <v>3</v>
      </c>
      <c r="D185" s="330" t="s">
        <v>4</v>
      </c>
      <c r="E185" s="274"/>
      <c r="F185" s="57"/>
      <c r="G185" s="57"/>
      <c r="H185" s="57"/>
    </row>
    <row r="186" spans="1:8" x14ac:dyDescent="0.35">
      <c r="A186" s="285" t="s">
        <v>1</v>
      </c>
      <c r="B186" s="330"/>
      <c r="C186" s="330"/>
      <c r="D186" s="330"/>
      <c r="E186" s="274"/>
      <c r="F186" s="57"/>
      <c r="G186" s="57"/>
      <c r="H186" s="57"/>
    </row>
    <row r="187" spans="1:8" x14ac:dyDescent="0.35">
      <c r="A187" s="291">
        <v>1</v>
      </c>
      <c r="B187" s="292" t="s">
        <v>207</v>
      </c>
      <c r="C187" s="291" t="s">
        <v>7</v>
      </c>
      <c r="D187" s="296" t="str">
        <f>D193</f>
        <v>Технический этаж</v>
      </c>
      <c r="E187" s="189"/>
      <c r="F187" s="57"/>
      <c r="G187" s="57"/>
      <c r="H187" s="57"/>
    </row>
    <row r="188" spans="1:8" x14ac:dyDescent="0.35">
      <c r="A188" s="291" t="s">
        <v>276</v>
      </c>
      <c r="B188" s="292" t="s">
        <v>210</v>
      </c>
      <c r="C188" s="291" t="s">
        <v>7</v>
      </c>
      <c r="D188" s="296" t="s">
        <v>224</v>
      </c>
      <c r="E188" s="189"/>
      <c r="F188" s="57"/>
      <c r="G188" s="57"/>
      <c r="H188" s="57"/>
    </row>
    <row r="189" spans="1:8" x14ac:dyDescent="0.35">
      <c r="A189" s="291" t="s">
        <v>277</v>
      </c>
      <c r="B189" s="292" t="s">
        <v>213</v>
      </c>
      <c r="C189" s="291" t="s">
        <v>7</v>
      </c>
      <c r="D189" s="296" t="s">
        <v>280</v>
      </c>
      <c r="E189" s="189"/>
      <c r="F189" s="57"/>
      <c r="G189" s="57"/>
      <c r="H189" s="57"/>
    </row>
    <row r="190" spans="1:8" x14ac:dyDescent="0.35">
      <c r="A190" s="193" t="s">
        <v>278</v>
      </c>
      <c r="B190" s="292" t="s">
        <v>216</v>
      </c>
      <c r="C190" s="291" t="s">
        <v>7</v>
      </c>
      <c r="D190" s="194">
        <v>2022</v>
      </c>
      <c r="E190" s="190"/>
      <c r="F190" s="57"/>
      <c r="G190" s="57"/>
      <c r="H190" s="57"/>
    </row>
    <row r="191" spans="1:8" x14ac:dyDescent="0.35">
      <c r="A191" s="291" t="s">
        <v>279</v>
      </c>
      <c r="B191" s="292" t="s">
        <v>274</v>
      </c>
      <c r="C191" s="291" t="s">
        <v>141</v>
      </c>
      <c r="D191" s="275">
        <f>'[14]2025'!$J$91</f>
        <v>7200</v>
      </c>
      <c r="E191" s="189"/>
      <c r="F191" s="57"/>
      <c r="G191" s="57"/>
      <c r="H191" s="57"/>
    </row>
    <row r="192" spans="1:8" ht="6.5" customHeight="1" x14ac:dyDescent="0.35">
      <c r="A192" s="291"/>
      <c r="B192" s="292"/>
      <c r="C192" s="291"/>
      <c r="D192" s="296"/>
      <c r="E192" s="189"/>
      <c r="F192" s="57"/>
      <c r="G192" s="57"/>
      <c r="H192" s="57"/>
    </row>
    <row r="193" spans="1:8" s="57" customFormat="1" x14ac:dyDescent="0.35">
      <c r="A193" s="291" t="s">
        <v>9</v>
      </c>
      <c r="B193" s="292" t="s">
        <v>207</v>
      </c>
      <c r="C193" s="291" t="s">
        <v>7</v>
      </c>
      <c r="D193" s="296" t="s">
        <v>208</v>
      </c>
      <c r="E193" s="189"/>
    </row>
    <row r="194" spans="1:8" s="57" customFormat="1" x14ac:dyDescent="0.35">
      <c r="A194" s="291" t="s">
        <v>209</v>
      </c>
      <c r="B194" s="292" t="s">
        <v>210</v>
      </c>
      <c r="C194" s="291" t="s">
        <v>7</v>
      </c>
      <c r="D194" s="296" t="s">
        <v>211</v>
      </c>
      <c r="E194" s="189"/>
    </row>
    <row r="195" spans="1:8" s="57" customFormat="1" x14ac:dyDescent="0.35">
      <c r="A195" s="291" t="s">
        <v>212</v>
      </c>
      <c r="B195" s="292" t="s">
        <v>213</v>
      </c>
      <c r="C195" s="291" t="s">
        <v>7</v>
      </c>
      <c r="D195" s="296" t="s">
        <v>523</v>
      </c>
      <c r="E195" s="189"/>
    </row>
    <row r="196" spans="1:8" s="57" customFormat="1" x14ac:dyDescent="0.35">
      <c r="A196" s="193" t="s">
        <v>215</v>
      </c>
      <c r="B196" s="292" t="s">
        <v>216</v>
      </c>
      <c r="C196" s="291" t="s">
        <v>7</v>
      </c>
      <c r="D196" s="194">
        <v>2019</v>
      </c>
      <c r="E196" s="190"/>
    </row>
    <row r="197" spans="1:8" s="57" customFormat="1" x14ac:dyDescent="0.35">
      <c r="A197" s="291" t="s">
        <v>217</v>
      </c>
      <c r="B197" s="292" t="s">
        <v>274</v>
      </c>
      <c r="C197" s="291" t="s">
        <v>141</v>
      </c>
      <c r="D197" s="275">
        <f>'[14]2025'!$O$85</f>
        <v>500</v>
      </c>
      <c r="E197" s="189"/>
    </row>
    <row r="198" spans="1:8" ht="6.5" customHeight="1" x14ac:dyDescent="0.35">
      <c r="A198" s="291"/>
      <c r="B198" s="292"/>
      <c r="C198" s="291"/>
      <c r="D198" s="296"/>
      <c r="E198" s="189"/>
      <c r="F198" s="57"/>
      <c r="G198" s="57"/>
      <c r="H198" s="57"/>
    </row>
    <row r="199" spans="1:8" x14ac:dyDescent="0.35">
      <c r="A199" s="291">
        <v>3</v>
      </c>
      <c r="B199" s="292" t="s">
        <v>207</v>
      </c>
      <c r="C199" s="291"/>
      <c r="D199" s="296" t="str">
        <f>D193</f>
        <v>Технический этаж</v>
      </c>
      <c r="E199" s="189"/>
      <c r="F199" s="57"/>
      <c r="G199" s="57"/>
      <c r="H199" s="57"/>
    </row>
    <row r="200" spans="1:8" x14ac:dyDescent="0.35">
      <c r="A200" s="291" t="s">
        <v>218</v>
      </c>
      <c r="B200" s="292" t="s">
        <v>210</v>
      </c>
      <c r="C200" s="291" t="s">
        <v>7</v>
      </c>
      <c r="D200" s="296" t="str">
        <f>D194</f>
        <v>Тех. помещение</v>
      </c>
      <c r="E200" s="189"/>
      <c r="F200" s="57"/>
      <c r="G200" s="57"/>
      <c r="H200" s="57"/>
    </row>
    <row r="201" spans="1:8" ht="43.5" customHeight="1" x14ac:dyDescent="0.35">
      <c r="A201" s="291" t="s">
        <v>219</v>
      </c>
      <c r="B201" s="292" t="s">
        <v>213</v>
      </c>
      <c r="C201" s="291" t="s">
        <v>7</v>
      </c>
      <c r="D201" s="296" t="s">
        <v>220</v>
      </c>
      <c r="E201" s="189"/>
      <c r="F201" s="57"/>
      <c r="G201" s="57"/>
      <c r="H201" s="57"/>
    </row>
    <row r="202" spans="1:8" x14ac:dyDescent="0.35">
      <c r="A202" s="291" t="s">
        <v>221</v>
      </c>
      <c r="B202" s="292" t="s">
        <v>216</v>
      </c>
      <c r="C202" s="291" t="s">
        <v>7</v>
      </c>
      <c r="D202" s="194">
        <f>D196</f>
        <v>2019</v>
      </c>
      <c r="E202" s="190"/>
      <c r="F202" s="57"/>
      <c r="G202" s="57"/>
      <c r="H202" s="57"/>
    </row>
    <row r="203" spans="1:8" x14ac:dyDescent="0.35">
      <c r="A203" s="291" t="s">
        <v>222</v>
      </c>
      <c r="B203" s="292" t="s">
        <v>274</v>
      </c>
      <c r="C203" s="291" t="s">
        <v>141</v>
      </c>
      <c r="D203" s="275">
        <f>'[14]2025'!$O$88</f>
        <v>18000</v>
      </c>
      <c r="E203" s="189"/>
      <c r="F203" s="57"/>
      <c r="G203" s="57"/>
      <c r="H203" s="57"/>
    </row>
    <row r="204" spans="1:8" ht="6.5" customHeight="1" x14ac:dyDescent="0.35">
      <c r="A204" s="291"/>
      <c r="B204" s="292"/>
      <c r="C204" s="291"/>
      <c r="D204" s="296"/>
      <c r="E204" s="189"/>
      <c r="F204" s="57"/>
      <c r="G204" s="57"/>
      <c r="H204" s="57"/>
    </row>
    <row r="205" spans="1:8" x14ac:dyDescent="0.35">
      <c r="A205" s="291">
        <v>5</v>
      </c>
      <c r="B205" s="292" t="s">
        <v>207</v>
      </c>
      <c r="C205" s="291"/>
      <c r="D205" s="296" t="s">
        <v>208</v>
      </c>
      <c r="E205" s="189"/>
      <c r="F205" s="57"/>
      <c r="G205" s="57"/>
      <c r="H205" s="57"/>
    </row>
    <row r="206" spans="1:8" x14ac:dyDescent="0.35">
      <c r="A206" s="291" t="s">
        <v>166</v>
      </c>
      <c r="B206" s="292" t="s">
        <v>210</v>
      </c>
      <c r="C206" s="291" t="s">
        <v>7</v>
      </c>
      <c r="D206" s="296" t="s">
        <v>211</v>
      </c>
      <c r="E206" s="189"/>
      <c r="F206" s="57"/>
      <c r="G206" s="57"/>
      <c r="H206" s="57"/>
    </row>
    <row r="207" spans="1:8" x14ac:dyDescent="0.35">
      <c r="A207" s="291" t="s">
        <v>167</v>
      </c>
      <c r="B207" s="292" t="s">
        <v>213</v>
      </c>
      <c r="C207" s="291" t="s">
        <v>7</v>
      </c>
      <c r="D207" s="296" t="s">
        <v>225</v>
      </c>
      <c r="E207" s="189"/>
      <c r="F207" s="57"/>
      <c r="G207" s="57"/>
      <c r="H207" s="57"/>
    </row>
    <row r="208" spans="1:8" x14ac:dyDescent="0.35">
      <c r="A208" s="291" t="s">
        <v>168</v>
      </c>
      <c r="B208" s="292" t="s">
        <v>216</v>
      </c>
      <c r="C208" s="291" t="s">
        <v>7</v>
      </c>
      <c r="D208" s="194">
        <v>2019</v>
      </c>
      <c r="E208" s="190"/>
      <c r="F208" s="57"/>
      <c r="G208" s="57"/>
      <c r="H208" s="57"/>
    </row>
    <row r="209" spans="1:8" x14ac:dyDescent="0.35">
      <c r="A209" s="291" t="s">
        <v>169</v>
      </c>
      <c r="B209" s="292" t="s">
        <v>274</v>
      </c>
      <c r="C209" s="291" t="s">
        <v>141</v>
      </c>
      <c r="D209" s="275">
        <f>'[14]2025'!$O$89</f>
        <v>18000</v>
      </c>
      <c r="E209" s="189"/>
      <c r="F209" s="57"/>
      <c r="G209" s="57"/>
      <c r="H209" s="57"/>
    </row>
    <row r="210" spans="1:8" ht="6.5" customHeight="1" x14ac:dyDescent="0.35">
      <c r="A210" s="291"/>
      <c r="B210" s="292"/>
      <c r="C210" s="291"/>
      <c r="D210" s="296"/>
      <c r="E210" s="189"/>
      <c r="F210" s="57"/>
      <c r="G210" s="57"/>
      <c r="H210" s="57"/>
    </row>
    <row r="211" spans="1:8" x14ac:dyDescent="0.35">
      <c r="A211" s="291">
        <v>5</v>
      </c>
      <c r="B211" s="292" t="s">
        <v>207</v>
      </c>
      <c r="C211" s="291"/>
      <c r="D211" s="296" t="s">
        <v>252</v>
      </c>
      <c r="E211" s="189"/>
      <c r="F211" s="57"/>
      <c r="G211" s="57"/>
      <c r="H211" s="57"/>
    </row>
    <row r="212" spans="1:8" x14ac:dyDescent="0.35">
      <c r="A212" s="291" t="s">
        <v>166</v>
      </c>
      <c r="B212" s="292" t="s">
        <v>210</v>
      </c>
      <c r="C212" s="291" t="s">
        <v>7</v>
      </c>
      <c r="D212" s="296" t="str">
        <f>D211</f>
        <v>Кровля</v>
      </c>
      <c r="E212" s="189"/>
      <c r="F212" s="57"/>
      <c r="G212" s="57"/>
      <c r="H212" s="57"/>
    </row>
    <row r="213" spans="1:8" x14ac:dyDescent="0.35">
      <c r="A213" s="291" t="s">
        <v>167</v>
      </c>
      <c r="B213" s="292" t="s">
        <v>213</v>
      </c>
      <c r="C213" s="291" t="s">
        <v>7</v>
      </c>
      <c r="D213" s="296" t="s">
        <v>524</v>
      </c>
      <c r="E213" s="189"/>
      <c r="F213" s="57"/>
      <c r="G213" s="57"/>
      <c r="H213" s="57"/>
    </row>
    <row r="214" spans="1:8" x14ac:dyDescent="0.35">
      <c r="A214" s="291" t="s">
        <v>168</v>
      </c>
      <c r="B214" s="292" t="s">
        <v>216</v>
      </c>
      <c r="C214" s="291" t="s">
        <v>7</v>
      </c>
      <c r="D214" s="194">
        <v>2025</v>
      </c>
      <c r="E214" s="190"/>
      <c r="F214" s="57"/>
      <c r="G214" s="57"/>
      <c r="H214" s="57"/>
    </row>
    <row r="215" spans="1:8" x14ac:dyDescent="0.35">
      <c r="A215" s="291" t="s">
        <v>169</v>
      </c>
      <c r="B215" s="292" t="s">
        <v>274</v>
      </c>
      <c r="C215" s="291" t="s">
        <v>141</v>
      </c>
      <c r="D215" s="275">
        <v>0</v>
      </c>
      <c r="E215" s="189"/>
      <c r="F215" s="57"/>
      <c r="G215" s="57"/>
      <c r="H215" s="57"/>
    </row>
    <row r="216" spans="1:8" x14ac:dyDescent="0.35">
      <c r="A216" s="131"/>
      <c r="B216" s="57"/>
      <c r="C216" s="57"/>
      <c r="D216" s="57"/>
      <c r="E216" s="57"/>
      <c r="F216" s="57"/>
      <c r="G216" s="57"/>
      <c r="H216" s="57"/>
    </row>
    <row r="217" spans="1:8" ht="17" customHeight="1" x14ac:dyDescent="0.35">
      <c r="A217" s="131"/>
      <c r="B217" s="57"/>
      <c r="C217" s="57"/>
      <c r="D217" s="57"/>
      <c r="E217" s="57"/>
      <c r="F217" s="57"/>
      <c r="G217" s="57"/>
      <c r="H217" s="57"/>
    </row>
    <row r="218" spans="1:8" hidden="1" x14ac:dyDescent="0.35">
      <c r="A218" s="368" t="s">
        <v>228</v>
      </c>
      <c r="B218" s="368"/>
      <c r="C218" s="368"/>
      <c r="D218" s="368"/>
      <c r="E218" s="57"/>
      <c r="F218" s="57"/>
      <c r="G218" s="57"/>
      <c r="H218" s="57"/>
    </row>
    <row r="219" spans="1:8" hidden="1" x14ac:dyDescent="0.35">
      <c r="A219" s="138"/>
      <c r="B219" s="57"/>
      <c r="C219" s="57"/>
      <c r="D219" s="57"/>
      <c r="E219" s="57"/>
      <c r="F219" s="57"/>
      <c r="G219" s="57"/>
      <c r="H219" s="57"/>
    </row>
    <row r="220" spans="1:8" hidden="1" x14ac:dyDescent="0.35">
      <c r="A220" s="132" t="s">
        <v>0</v>
      </c>
      <c r="B220" s="360" t="s">
        <v>2</v>
      </c>
      <c r="C220" s="360" t="s">
        <v>3</v>
      </c>
      <c r="D220" s="360" t="s">
        <v>4</v>
      </c>
      <c r="E220" s="274"/>
      <c r="F220" s="57"/>
      <c r="G220" s="57"/>
      <c r="H220" s="57"/>
    </row>
    <row r="221" spans="1:8" ht="16" hidden="1" thickBot="1" x14ac:dyDescent="0.4">
      <c r="A221" s="133" t="s">
        <v>1</v>
      </c>
      <c r="B221" s="361"/>
      <c r="C221" s="361"/>
      <c r="D221" s="361"/>
      <c r="E221" s="274"/>
      <c r="F221" s="57"/>
      <c r="G221" s="57"/>
      <c r="H221" s="57"/>
    </row>
    <row r="222" spans="1:8" ht="16" hidden="1" x14ac:dyDescent="0.35">
      <c r="A222" s="86" t="s">
        <v>5</v>
      </c>
      <c r="B222" s="139" t="s">
        <v>6</v>
      </c>
      <c r="C222" s="86" t="s">
        <v>7</v>
      </c>
      <c r="D222" s="276">
        <v>43851</v>
      </c>
      <c r="E222" s="277"/>
      <c r="F222" s="57"/>
      <c r="G222" s="57"/>
      <c r="H222" s="57"/>
    </row>
    <row r="223" spans="1:8" ht="31" hidden="1" x14ac:dyDescent="0.35">
      <c r="A223" s="86" t="s">
        <v>5</v>
      </c>
      <c r="B223" s="87" t="s">
        <v>229</v>
      </c>
      <c r="C223" s="86" t="s">
        <v>7</v>
      </c>
      <c r="D223" s="140" t="s">
        <v>230</v>
      </c>
      <c r="E223" s="63"/>
      <c r="F223" s="57"/>
      <c r="G223" s="57"/>
      <c r="H223" s="57"/>
    </row>
    <row r="224" spans="1:8" ht="31.5" hidden="1" thickBot="1" x14ac:dyDescent="0.4">
      <c r="A224" s="89" t="s">
        <v>9</v>
      </c>
      <c r="B224" s="90" t="s">
        <v>229</v>
      </c>
      <c r="C224" s="89" t="s">
        <v>7</v>
      </c>
      <c r="D224" s="141" t="s">
        <v>231</v>
      </c>
      <c r="E224" s="63"/>
      <c r="F224" s="57"/>
      <c r="G224" s="57"/>
      <c r="H224" s="57"/>
    </row>
    <row r="225" spans="1:10" ht="31.5" hidden="1" thickBot="1" x14ac:dyDescent="0.4">
      <c r="A225" s="134" t="s">
        <v>12</v>
      </c>
      <c r="B225" s="135" t="s">
        <v>229</v>
      </c>
      <c r="C225" s="134" t="s">
        <v>7</v>
      </c>
      <c r="D225" s="142" t="s">
        <v>232</v>
      </c>
      <c r="E225" s="63"/>
      <c r="F225" s="57"/>
      <c r="G225" s="57"/>
      <c r="H225" s="57"/>
    </row>
    <row r="226" spans="1:10" ht="31.5" hidden="1" thickBot="1" x14ac:dyDescent="0.4">
      <c r="A226" s="134" t="s">
        <v>15</v>
      </c>
      <c r="B226" s="135" t="s">
        <v>229</v>
      </c>
      <c r="C226" s="134" t="s">
        <v>7</v>
      </c>
      <c r="D226" s="142" t="s">
        <v>233</v>
      </c>
      <c r="E226" s="63"/>
      <c r="F226" s="57"/>
      <c r="G226" s="57"/>
      <c r="H226" s="57"/>
    </row>
    <row r="227" spans="1:10" ht="31.5" hidden="1" thickBot="1" x14ac:dyDescent="0.4">
      <c r="A227" s="134" t="s">
        <v>18</v>
      </c>
      <c r="B227" s="143" t="s">
        <v>229</v>
      </c>
      <c r="C227" s="134" t="s">
        <v>7</v>
      </c>
      <c r="D227" s="142" t="s">
        <v>234</v>
      </c>
      <c r="E227" s="63"/>
      <c r="F227" s="57"/>
      <c r="G227" s="57"/>
      <c r="H227" s="57"/>
    </row>
    <row r="228" spans="1:10" ht="31.5" hidden="1" thickBot="1" x14ac:dyDescent="0.4">
      <c r="A228" s="134" t="s">
        <v>21</v>
      </c>
      <c r="B228" s="143" t="s">
        <v>229</v>
      </c>
      <c r="C228" s="134" t="s">
        <v>7</v>
      </c>
      <c r="D228" s="142" t="s">
        <v>235</v>
      </c>
      <c r="E228" s="63"/>
      <c r="F228" s="57"/>
      <c r="G228" s="57"/>
      <c r="H228" s="57"/>
    </row>
    <row r="229" spans="1:10" ht="31.5" hidden="1" thickBot="1" x14ac:dyDescent="0.4">
      <c r="A229" s="134" t="s">
        <v>23</v>
      </c>
      <c r="B229" s="143" t="s">
        <v>229</v>
      </c>
      <c r="C229" s="134" t="s">
        <v>7</v>
      </c>
      <c r="D229" s="142" t="s">
        <v>236</v>
      </c>
      <c r="E229" s="63"/>
      <c r="F229" s="57"/>
      <c r="G229" s="57"/>
      <c r="H229" s="57"/>
    </row>
    <row r="230" spans="1:10" ht="31.5" hidden="1" thickBot="1" x14ac:dyDescent="0.4">
      <c r="A230" s="134" t="s">
        <v>26</v>
      </c>
      <c r="B230" s="143" t="s">
        <v>229</v>
      </c>
      <c r="C230" s="134" t="s">
        <v>7</v>
      </c>
      <c r="D230" s="142" t="s">
        <v>237</v>
      </c>
      <c r="E230" s="63"/>
      <c r="F230" s="57"/>
      <c r="G230" s="57"/>
      <c r="H230" s="57"/>
    </row>
    <row r="231" spans="1:10" ht="16" hidden="1" thickBot="1" x14ac:dyDescent="0.4">
      <c r="A231" s="134"/>
      <c r="B231" s="135"/>
      <c r="C231" s="134"/>
      <c r="D231" s="142"/>
      <c r="E231" s="63"/>
      <c r="F231" s="57"/>
      <c r="G231" s="57"/>
      <c r="H231" s="57"/>
    </row>
    <row r="232" spans="1:10" x14ac:dyDescent="0.35">
      <c r="A232" s="131"/>
      <c r="B232" s="57"/>
      <c r="C232" s="57"/>
      <c r="D232" s="57"/>
      <c r="E232" s="57"/>
      <c r="F232" s="57"/>
      <c r="G232" s="57"/>
      <c r="H232" s="57"/>
    </row>
    <row r="233" spans="1:10" ht="16" x14ac:dyDescent="0.4">
      <c r="A233" s="384" t="s">
        <v>238</v>
      </c>
      <c r="B233" s="384"/>
      <c r="C233" s="384"/>
      <c r="D233" s="384"/>
      <c r="E233" s="57"/>
      <c r="F233" s="57"/>
      <c r="G233" s="57"/>
      <c r="H233" s="57"/>
    </row>
    <row r="234" spans="1:10" s="57" customFormat="1" x14ac:dyDescent="0.35">
      <c r="A234" s="287" t="s">
        <v>0</v>
      </c>
      <c r="B234" s="316" t="s">
        <v>2</v>
      </c>
      <c r="C234" s="316" t="s">
        <v>3</v>
      </c>
      <c r="D234" s="316" t="s">
        <v>4</v>
      </c>
    </row>
    <row r="235" spans="1:10" s="57" customFormat="1" x14ac:dyDescent="0.35">
      <c r="A235" s="287" t="s">
        <v>1</v>
      </c>
      <c r="B235" s="316"/>
      <c r="C235" s="316"/>
      <c r="D235" s="316"/>
    </row>
    <row r="236" spans="1:10" s="57" customFormat="1" ht="16" x14ac:dyDescent="0.35">
      <c r="A236" s="289" t="s">
        <v>5</v>
      </c>
      <c r="B236" s="290" t="s">
        <v>6</v>
      </c>
      <c r="C236" s="289" t="s">
        <v>7</v>
      </c>
      <c r="D236" s="119">
        <v>46073</v>
      </c>
    </row>
    <row r="237" spans="1:10" s="57" customFormat="1" ht="16" x14ac:dyDescent="0.35">
      <c r="A237" s="289" t="s">
        <v>9</v>
      </c>
      <c r="B237" s="290" t="s">
        <v>239</v>
      </c>
      <c r="C237" s="289" t="s">
        <v>7</v>
      </c>
      <c r="D237" s="119">
        <v>45658</v>
      </c>
    </row>
    <row r="238" spans="1:10" s="57" customFormat="1" ht="16" x14ac:dyDescent="0.35">
      <c r="A238" s="289" t="s">
        <v>12</v>
      </c>
      <c r="B238" s="290" t="s">
        <v>240</v>
      </c>
      <c r="C238" s="289" t="s">
        <v>7</v>
      </c>
      <c r="D238" s="119">
        <v>46022</v>
      </c>
    </row>
    <row r="239" spans="1:10" s="57" customFormat="1" ht="30" customHeight="1" x14ac:dyDescent="0.35">
      <c r="A239" s="326" t="s">
        <v>241</v>
      </c>
      <c r="B239" s="326"/>
      <c r="C239" s="326"/>
      <c r="D239" s="326"/>
    </row>
    <row r="240" spans="1:10" s="57" customFormat="1" ht="31" x14ac:dyDescent="0.35">
      <c r="A240" s="289" t="s">
        <v>15</v>
      </c>
      <c r="B240" s="290" t="s">
        <v>451</v>
      </c>
      <c r="C240" s="289" t="s">
        <v>141</v>
      </c>
      <c r="D240" s="173">
        <f>[4]ШК104!$D$24</f>
        <v>156389.39049271541</v>
      </c>
      <c r="J240" s="57" t="s">
        <v>321</v>
      </c>
    </row>
    <row r="241" spans="1:61" s="57" customFormat="1" ht="16" x14ac:dyDescent="0.35">
      <c r="A241" s="289" t="s">
        <v>18</v>
      </c>
      <c r="B241" s="290" t="s">
        <v>243</v>
      </c>
      <c r="C241" s="289" t="s">
        <v>141</v>
      </c>
      <c r="D241" s="174">
        <v>0</v>
      </c>
    </row>
    <row r="242" spans="1:61" s="57" customFormat="1" ht="16" x14ac:dyDescent="0.35">
      <c r="A242" s="289" t="s">
        <v>21</v>
      </c>
      <c r="B242" s="288" t="s">
        <v>244</v>
      </c>
      <c r="C242" s="287" t="s">
        <v>141</v>
      </c>
      <c r="D242" s="173">
        <f>[30]Лист_1!$AP$234</f>
        <v>591338.96</v>
      </c>
    </row>
    <row r="243" spans="1:61" s="57" customFormat="1" x14ac:dyDescent="0.35">
      <c r="A243" s="317" t="s">
        <v>23</v>
      </c>
      <c r="B243" s="326" t="s">
        <v>245</v>
      </c>
      <c r="C243" s="316" t="s">
        <v>141</v>
      </c>
      <c r="D243" s="373">
        <f>[30]Лист_1!$P$234</f>
        <v>2236205.89</v>
      </c>
    </row>
    <row r="244" spans="1:61" s="57" customFormat="1" x14ac:dyDescent="0.35">
      <c r="A244" s="317"/>
      <c r="B244" s="326"/>
      <c r="C244" s="316"/>
      <c r="D244" s="374"/>
    </row>
    <row r="245" spans="1:61" s="57" customFormat="1" x14ac:dyDescent="0.35">
      <c r="A245" s="289" t="s">
        <v>26</v>
      </c>
      <c r="B245" s="145" t="s">
        <v>282</v>
      </c>
      <c r="C245" s="144" t="s">
        <v>141</v>
      </c>
      <c r="D245" s="68">
        <f>[30]Лист_1!$P$236</f>
        <v>1672156.5116155813</v>
      </c>
    </row>
    <row r="246" spans="1:61" s="57" customFormat="1" x14ac:dyDescent="0.35">
      <c r="A246" s="289" t="s">
        <v>29</v>
      </c>
      <c r="B246" s="145" t="s">
        <v>283</v>
      </c>
      <c r="C246" s="144" t="s">
        <v>141</v>
      </c>
      <c r="D246" s="68">
        <f>[30]Лист_1!$P$237</f>
        <v>564049.3783844189</v>
      </c>
    </row>
    <row r="247" spans="1:61" s="57" customFormat="1" x14ac:dyDescent="0.35">
      <c r="A247" s="316" t="s">
        <v>31</v>
      </c>
      <c r="B247" s="326" t="s">
        <v>246</v>
      </c>
      <c r="C247" s="316" t="s">
        <v>141</v>
      </c>
      <c r="D247" s="372">
        <f>[30]Лист_1!$AG$247+36500</f>
        <v>2946635.1399999997</v>
      </c>
    </row>
    <row r="248" spans="1:61" s="57" customFormat="1" ht="7.5" customHeight="1" x14ac:dyDescent="0.35">
      <c r="A248" s="316"/>
      <c r="B248" s="326"/>
      <c r="C248" s="316"/>
      <c r="D248" s="372"/>
    </row>
    <row r="249" spans="1:61" s="57" customFormat="1" hidden="1" x14ac:dyDescent="0.35">
      <c r="A249" s="316"/>
      <c r="B249" s="326"/>
      <c r="C249" s="316"/>
      <c r="D249" s="372"/>
    </row>
    <row r="250" spans="1:61" s="57" customFormat="1" x14ac:dyDescent="0.35">
      <c r="A250" s="317" t="s">
        <v>34</v>
      </c>
      <c r="B250" s="315" t="s">
        <v>247</v>
      </c>
      <c r="C250" s="317" t="s">
        <v>141</v>
      </c>
      <c r="D250" s="372">
        <f>D247</f>
        <v>2946635.1399999997</v>
      </c>
      <c r="G250" s="58">
        <f>D252+D255+D257+D262+D263+D264+D265</f>
        <v>2946635.1399999997</v>
      </c>
      <c r="K250" s="58" t="e">
        <f>D250-#REF!-#REF!-#REF!</f>
        <v>#REF!</v>
      </c>
      <c r="BF250" s="57" t="s">
        <v>459</v>
      </c>
    </row>
    <row r="251" spans="1:61" s="57" customFormat="1" ht="2.5" customHeight="1" x14ac:dyDescent="0.35">
      <c r="A251" s="317"/>
      <c r="B251" s="315"/>
      <c r="C251" s="317"/>
      <c r="D251" s="372"/>
    </row>
    <row r="252" spans="1:61" s="57" customFormat="1" x14ac:dyDescent="0.35">
      <c r="A252" s="289" t="s">
        <v>36</v>
      </c>
      <c r="B252" s="290" t="s">
        <v>330</v>
      </c>
      <c r="C252" s="289" t="s">
        <v>141</v>
      </c>
      <c r="D252" s="85">
        <f>[30]Лист_1!$AG$241</f>
        <v>132441.63</v>
      </c>
      <c r="O252" s="58" t="e">
        <f>D252+D253+D254+#REF!</f>
        <v>#REF!</v>
      </c>
    </row>
    <row r="253" spans="1:61" s="57" customFormat="1" x14ac:dyDescent="0.35">
      <c r="A253" s="289" t="s">
        <v>38</v>
      </c>
      <c r="B253" s="290" t="s">
        <v>289</v>
      </c>
      <c r="C253" s="289" t="s">
        <v>141</v>
      </c>
      <c r="D253" s="286">
        <f>[13]Лист_1!$AU$415</f>
        <v>0</v>
      </c>
      <c r="G253" s="58">
        <f>G250-D247</f>
        <v>0</v>
      </c>
      <c r="BF253" s="58" t="e">
        <f>(D252+D253+D255+D257+D262+D263+D264+D265+#REF!)+D266</f>
        <v>#REF!</v>
      </c>
      <c r="BG253" s="58" t="e">
        <f>BF253-D250</f>
        <v>#REF!</v>
      </c>
    </row>
    <row r="254" spans="1:61" s="57" customFormat="1" x14ac:dyDescent="0.35">
      <c r="A254" s="175" t="s">
        <v>40</v>
      </c>
      <c r="B254" s="290" t="s">
        <v>248</v>
      </c>
      <c r="C254" s="289" t="s">
        <v>141</v>
      </c>
      <c r="D254" s="286">
        <v>0</v>
      </c>
    </row>
    <row r="255" spans="1:61" s="57" customFormat="1" x14ac:dyDescent="0.35">
      <c r="A255" s="175" t="s">
        <v>42</v>
      </c>
      <c r="B255" s="290" t="s">
        <v>457</v>
      </c>
      <c r="C255" s="289" t="str">
        <f>C254</f>
        <v>руб.</v>
      </c>
      <c r="D255" s="68">
        <f>'[14]2025'!$O$97</f>
        <v>36500</v>
      </c>
      <c r="G255" s="198"/>
    </row>
    <row r="256" spans="1:61" s="57" customFormat="1" x14ac:dyDescent="0.35">
      <c r="A256" s="175" t="s">
        <v>44</v>
      </c>
      <c r="B256" s="306" t="s">
        <v>435</v>
      </c>
      <c r="C256" s="307"/>
      <c r="D256" s="308"/>
      <c r="BI256" s="57" t="s">
        <v>452</v>
      </c>
    </row>
    <row r="257" spans="1:61" s="57" customFormat="1" x14ac:dyDescent="0.35">
      <c r="A257" s="175" t="s">
        <v>458</v>
      </c>
      <c r="B257" s="146" t="s">
        <v>475</v>
      </c>
      <c r="C257" s="289" t="str">
        <f>C254</f>
        <v>руб.</v>
      </c>
      <c r="D257" s="286">
        <f>[30]Лист_1!$AG$234</f>
        <v>2203206.8199999998</v>
      </c>
      <c r="F257" s="58">
        <f>D258+D259+D260+D261</f>
        <v>2203206.8182536908</v>
      </c>
      <c r="G257" s="58"/>
      <c r="I257" s="57" t="s">
        <v>480</v>
      </c>
      <c r="BI257" s="57" t="s">
        <v>453</v>
      </c>
    </row>
    <row r="258" spans="1:61" s="57" customFormat="1" ht="31" x14ac:dyDescent="0.35">
      <c r="A258" s="175" t="s">
        <v>464</v>
      </c>
      <c r="B258" s="146" t="s">
        <v>462</v>
      </c>
      <c r="C258" s="289" t="str">
        <f>C257</f>
        <v>руб.</v>
      </c>
      <c r="D258" s="286">
        <f>M118+70932.05</f>
        <v>1154033.618</v>
      </c>
      <c r="F258" s="58">
        <f>D257-F257</f>
        <v>1.7463089898228645E-3</v>
      </c>
      <c r="G258" s="58"/>
    </row>
    <row r="259" spans="1:61" s="57" customFormat="1" ht="31" x14ac:dyDescent="0.35">
      <c r="A259" s="175" t="s">
        <v>465</v>
      </c>
      <c r="B259" s="146" t="s">
        <v>456</v>
      </c>
      <c r="C259" s="289" t="str">
        <f>C258</f>
        <v>руб.</v>
      </c>
      <c r="D259" s="286">
        <f>K95</f>
        <v>28272.384000000002</v>
      </c>
      <c r="BI259" s="57" t="s">
        <v>454</v>
      </c>
    </row>
    <row r="260" spans="1:61" s="57" customFormat="1" ht="46.5" x14ac:dyDescent="0.35">
      <c r="A260" s="175" t="s">
        <v>466</v>
      </c>
      <c r="B260" s="146" t="s">
        <v>463</v>
      </c>
      <c r="C260" s="289" t="str">
        <f>C259</f>
        <v>руб.</v>
      </c>
      <c r="D260" s="286">
        <f>H121</f>
        <v>465174.95808000007</v>
      </c>
      <c r="BF260" s="58">
        <f>D258+D259+D260+D261</f>
        <v>2203206.8182536908</v>
      </c>
      <c r="BG260" s="57">
        <v>4120303.1052187206</v>
      </c>
      <c r="BI260" s="57" t="s">
        <v>455</v>
      </c>
    </row>
    <row r="261" spans="1:61" s="57" customFormat="1" x14ac:dyDescent="0.35">
      <c r="A261" s="175" t="s">
        <v>467</v>
      </c>
      <c r="B261" s="146" t="s">
        <v>460</v>
      </c>
      <c r="C261" s="289" t="str">
        <f>C260</f>
        <v>руб.</v>
      </c>
      <c r="D261" s="286">
        <f>[30]Лист_1!$AG$237</f>
        <v>555725.85817369085</v>
      </c>
      <c r="BF261" s="58">
        <f>BF260-D257</f>
        <v>-1.7463089898228645E-3</v>
      </c>
      <c r="BG261" s="58">
        <f>BG260-D257</f>
        <v>1917096.2852187208</v>
      </c>
    </row>
    <row r="262" spans="1:61" s="57" customFormat="1" x14ac:dyDescent="0.35">
      <c r="A262" s="175" t="s">
        <v>468</v>
      </c>
      <c r="B262" s="146" t="s">
        <v>525</v>
      </c>
      <c r="C262" s="289" t="s">
        <v>141</v>
      </c>
      <c r="D262" s="85">
        <f>[30]Лист_1!$AA$234</f>
        <v>127128.95</v>
      </c>
    </row>
    <row r="263" spans="1:61" s="57" customFormat="1" x14ac:dyDescent="0.35">
      <c r="A263" s="175" t="s">
        <v>469</v>
      </c>
      <c r="B263" s="146" t="s">
        <v>529</v>
      </c>
      <c r="C263" s="289" t="s">
        <v>141</v>
      </c>
      <c r="D263" s="286">
        <f>[30]Лист_1!$AI$234</f>
        <v>427682.81</v>
      </c>
      <c r="BH263" s="57">
        <f>D260/12</f>
        <v>38764.579840000006</v>
      </c>
    </row>
    <row r="264" spans="1:61" s="57" customFormat="1" x14ac:dyDescent="0.35">
      <c r="A264" s="175" t="s">
        <v>470</v>
      </c>
      <c r="B264" s="146" t="s">
        <v>447</v>
      </c>
      <c r="C264" s="289" t="s">
        <v>141</v>
      </c>
      <c r="D264" s="286">
        <f>[30]Лист_1!$AF$234</f>
        <v>7375.86</v>
      </c>
    </row>
    <row r="265" spans="1:61" s="57" customFormat="1" x14ac:dyDescent="0.35">
      <c r="A265" s="175" t="s">
        <v>471</v>
      </c>
      <c r="B265" s="146" t="s">
        <v>530</v>
      </c>
      <c r="C265" s="289" t="s">
        <v>141</v>
      </c>
      <c r="D265" s="286">
        <f>[30]Лист_1!$AB$234+[30]Лист_1!$AH$234+[30]Лист_1!$AK$234</f>
        <v>12299.07</v>
      </c>
    </row>
    <row r="266" spans="1:61" s="57" customFormat="1" ht="29" customHeight="1" x14ac:dyDescent="0.35">
      <c r="A266" s="175" t="s">
        <v>473</v>
      </c>
      <c r="B266" s="290" t="s">
        <v>479</v>
      </c>
      <c r="C266" s="289" t="s">
        <v>141</v>
      </c>
      <c r="D266" s="286">
        <f>[30]Лист_1!$AM$234</f>
        <v>-88411.67</v>
      </c>
    </row>
    <row r="267" spans="1:61" s="57" customFormat="1" x14ac:dyDescent="0.35">
      <c r="A267" s="289" t="s">
        <v>46</v>
      </c>
      <c r="B267" s="290" t="s">
        <v>461</v>
      </c>
      <c r="C267" s="289" t="s">
        <v>141</v>
      </c>
      <c r="D267" s="286">
        <f>[30]Лист_1!$AQ$232</f>
        <v>591338.96</v>
      </c>
    </row>
    <row r="268" spans="1:61" s="57" customFormat="1" ht="31" x14ac:dyDescent="0.35">
      <c r="A268" s="289" t="s">
        <v>49</v>
      </c>
      <c r="B268" s="290" t="s">
        <v>301</v>
      </c>
      <c r="C268" s="289" t="s">
        <v>141</v>
      </c>
      <c r="D268" s="68">
        <f>[4]ШК104!$D$92</f>
        <v>223665.58866640623</v>
      </c>
      <c r="J268" s="57" t="s">
        <v>331</v>
      </c>
    </row>
    <row r="269" spans="1:61" s="57" customFormat="1" x14ac:dyDescent="0.35">
      <c r="A269" s="289" t="s">
        <v>51</v>
      </c>
      <c r="B269" s="290" t="s">
        <v>243</v>
      </c>
      <c r="C269" s="289" t="s">
        <v>141</v>
      </c>
      <c r="D269" s="56">
        <v>0</v>
      </c>
    </row>
    <row r="270" spans="1:61" s="57" customFormat="1" ht="16" hidden="1" x14ac:dyDescent="0.35">
      <c r="A270" s="147" t="s">
        <v>51</v>
      </c>
      <c r="B270" s="148" t="s">
        <v>251</v>
      </c>
      <c r="C270" s="149" t="s">
        <v>141</v>
      </c>
      <c r="D270" s="150">
        <v>7791.29</v>
      </c>
    </row>
    <row r="271" spans="1:61" s="57" customFormat="1" hidden="1" x14ac:dyDescent="0.35">
      <c r="A271" s="131"/>
    </row>
    <row r="272" spans="1:61" s="57" customFormat="1" hidden="1" x14ac:dyDescent="0.35">
      <c r="A272" s="131"/>
    </row>
    <row r="273" spans="1:11" s="64" customFormat="1" ht="25.5" customHeight="1" x14ac:dyDescent="0.35">
      <c r="A273" s="331" t="s">
        <v>253</v>
      </c>
      <c r="B273" s="331"/>
      <c r="C273" s="331"/>
      <c r="D273" s="331"/>
    </row>
    <row r="274" spans="1:11" s="64" customFormat="1" hidden="1" x14ac:dyDescent="0.35">
      <c r="A274" s="151"/>
      <c r="B274" s="151"/>
      <c r="C274" s="151"/>
      <c r="D274" s="151"/>
    </row>
    <row r="275" spans="1:11" s="64" customFormat="1" x14ac:dyDescent="0.35">
      <c r="A275" s="289">
        <v>1</v>
      </c>
      <c r="B275" s="290" t="s">
        <v>254</v>
      </c>
      <c r="C275" s="289" t="s">
        <v>33</v>
      </c>
      <c r="D275" s="91">
        <v>4</v>
      </c>
      <c r="K275" s="64" t="s">
        <v>322</v>
      </c>
    </row>
    <row r="276" spans="1:11" s="64" customFormat="1" x14ac:dyDescent="0.35">
      <c r="A276" s="289"/>
      <c r="B276" s="290" t="s">
        <v>442</v>
      </c>
      <c r="C276" s="289"/>
      <c r="D276" s="85">
        <v>10117.14</v>
      </c>
    </row>
    <row r="277" spans="1:11" s="64" customFormat="1" x14ac:dyDescent="0.35">
      <c r="A277" s="289">
        <v>2</v>
      </c>
      <c r="B277" s="290" t="s">
        <v>255</v>
      </c>
      <c r="C277" s="289" t="s">
        <v>33</v>
      </c>
      <c r="D277" s="91">
        <v>0</v>
      </c>
    </row>
    <row r="278" spans="1:11" s="64" customFormat="1" ht="31" x14ac:dyDescent="0.35">
      <c r="A278" s="289">
        <v>3</v>
      </c>
      <c r="B278" s="290" t="s">
        <v>256</v>
      </c>
      <c r="C278" s="289" t="s">
        <v>141</v>
      </c>
      <c r="D278" s="91">
        <v>0</v>
      </c>
    </row>
  </sheetData>
  <mergeCells count="125">
    <mergeCell ref="A33:D33"/>
    <mergeCell ref="A38:D38"/>
    <mergeCell ref="B39:B40"/>
    <mergeCell ref="C39:C40"/>
    <mergeCell ref="D39:D40"/>
    <mergeCell ref="A42:D42"/>
    <mergeCell ref="A44:D44"/>
    <mergeCell ref="A47:D47"/>
    <mergeCell ref="A49:D49"/>
    <mergeCell ref="C4:C5"/>
    <mergeCell ref="D4:D5"/>
    <mergeCell ref="A7:D7"/>
    <mergeCell ref="A10:D10"/>
    <mergeCell ref="A12:D12"/>
    <mergeCell ref="A1:D1"/>
    <mergeCell ref="A2:D2"/>
    <mergeCell ref="A3:D3"/>
    <mergeCell ref="B4:B5"/>
    <mergeCell ref="A75:D75"/>
    <mergeCell ref="A82:D82"/>
    <mergeCell ref="A84:D84"/>
    <mergeCell ref="A86:D86"/>
    <mergeCell ref="A88:D88"/>
    <mergeCell ref="A52:D52"/>
    <mergeCell ref="A54:D54"/>
    <mergeCell ref="A57:D57"/>
    <mergeCell ref="A61:D61"/>
    <mergeCell ref="A68:D68"/>
    <mergeCell ref="D127:H127"/>
    <mergeCell ref="D128:H128"/>
    <mergeCell ref="D129:H129"/>
    <mergeCell ref="D130:H130"/>
    <mergeCell ref="D131:H131"/>
    <mergeCell ref="A90:D90"/>
    <mergeCell ref="A92:H92"/>
    <mergeCell ref="B93:B94"/>
    <mergeCell ref="C93:C94"/>
    <mergeCell ref="B125:B126"/>
    <mergeCell ref="C125:C126"/>
    <mergeCell ref="D125:H126"/>
    <mergeCell ref="D135:H135"/>
    <mergeCell ref="D136:H136"/>
    <mergeCell ref="D137:H137"/>
    <mergeCell ref="D138:H138"/>
    <mergeCell ref="B139:B140"/>
    <mergeCell ref="C139:C140"/>
    <mergeCell ref="D139:H139"/>
    <mergeCell ref="D140:H140"/>
    <mergeCell ref="D132:H132"/>
    <mergeCell ref="B133:B134"/>
    <mergeCell ref="C133:C134"/>
    <mergeCell ref="D133:H133"/>
    <mergeCell ref="D134:H134"/>
    <mergeCell ref="B151:B152"/>
    <mergeCell ref="C151:C152"/>
    <mergeCell ref="D151:H151"/>
    <mergeCell ref="D152:H152"/>
    <mergeCell ref="D141:H141"/>
    <mergeCell ref="D142:H142"/>
    <mergeCell ref="D143:H143"/>
    <mergeCell ref="D144:H144"/>
    <mergeCell ref="B145:B146"/>
    <mergeCell ref="C145:C146"/>
    <mergeCell ref="D145:H145"/>
    <mergeCell ref="D146:H146"/>
    <mergeCell ref="D153:H153"/>
    <mergeCell ref="D154:H154"/>
    <mergeCell ref="D155:H155"/>
    <mergeCell ref="D156:H156"/>
    <mergeCell ref="D157:H157"/>
    <mergeCell ref="D147:H147"/>
    <mergeCell ref="D148:H148"/>
    <mergeCell ref="D149:H149"/>
    <mergeCell ref="D150:H150"/>
    <mergeCell ref="D159:H159"/>
    <mergeCell ref="B158:B159"/>
    <mergeCell ref="C158:C159"/>
    <mergeCell ref="D158:H158"/>
    <mergeCell ref="D176:H176"/>
    <mergeCell ref="D160:H160"/>
    <mergeCell ref="D161:H161"/>
    <mergeCell ref="D162:H162"/>
    <mergeCell ref="D168:H168"/>
    <mergeCell ref="B169:H169"/>
    <mergeCell ref="D170:H170"/>
    <mergeCell ref="D171:H171"/>
    <mergeCell ref="D172:H172"/>
    <mergeCell ref="D163:H163"/>
    <mergeCell ref="D164:H164"/>
    <mergeCell ref="D165:H165"/>
    <mergeCell ref="D166:H166"/>
    <mergeCell ref="D167:H167"/>
    <mergeCell ref="D181:H181"/>
    <mergeCell ref="D173:H173"/>
    <mergeCell ref="D174:H174"/>
    <mergeCell ref="D175:H175"/>
    <mergeCell ref="D177:H177"/>
    <mergeCell ref="D178:H178"/>
    <mergeCell ref="A183:D183"/>
    <mergeCell ref="B185:B186"/>
    <mergeCell ref="C185:C186"/>
    <mergeCell ref="D185:D186"/>
    <mergeCell ref="A218:D218"/>
    <mergeCell ref="A239:D239"/>
    <mergeCell ref="A243:A244"/>
    <mergeCell ref="B243:B244"/>
    <mergeCell ref="C243:C244"/>
    <mergeCell ref="D243:D244"/>
    <mergeCell ref="B220:B221"/>
    <mergeCell ref="C220:C221"/>
    <mergeCell ref="D220:D221"/>
    <mergeCell ref="A233:D233"/>
    <mergeCell ref="B234:B235"/>
    <mergeCell ref="C234:C235"/>
    <mergeCell ref="D234:D235"/>
    <mergeCell ref="B256:D256"/>
    <mergeCell ref="A273:D273"/>
    <mergeCell ref="A247:A249"/>
    <mergeCell ref="B247:B249"/>
    <mergeCell ref="C247:C249"/>
    <mergeCell ref="D247:D249"/>
    <mergeCell ref="A250:A251"/>
    <mergeCell ref="B250:B251"/>
    <mergeCell ref="C250:C251"/>
    <mergeCell ref="D250:D251"/>
  </mergeCells>
  <dataValidations disablePrompts="1" count="2">
    <dataValidation type="list" allowBlank="1" showInputMessage="1" showErrorMessage="1" sqref="B111" xr:uid="{1AABFF04-6D5E-4837-8561-1ABD7F5956E5}">
      <formula1>#REF!</formula1>
    </dataValidation>
    <dataValidation type="list" allowBlank="1" showInputMessage="1" showErrorMessage="1" sqref="B95:B123" xr:uid="{757EBB49-D526-4F2D-A7BB-B8B6742E1919}">
      <formula1>Справочник_работ_и_услуг</formula1>
    </dataValidation>
  </dataValidations>
  <pageMargins left="0.23622047244094491" right="0.23622047244094491" top="0.74803149606299213" bottom="0.74803149606299213" header="0.31496062992125984" footer="0.31496062992125984"/>
  <pageSetup paperSize="9" scale="80" fitToWidth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КБ40Б</vt:lpstr>
      <vt:lpstr>КБ40В</vt:lpstr>
      <vt:lpstr>КБ40Г</vt:lpstr>
      <vt:lpstr>КБ40Д</vt:lpstr>
      <vt:lpstr>КБ61В</vt:lpstr>
      <vt:lpstr>МИра122-2</vt:lpstr>
      <vt:lpstr>ШК104</vt:lpstr>
      <vt:lpstr>КБ40Б!_Hlk34413745</vt:lpstr>
      <vt:lpstr>КБ40Б!Область_печати</vt:lpstr>
      <vt:lpstr>КБ40В!Область_печати</vt:lpstr>
      <vt:lpstr>КБ40Г!Область_печати</vt:lpstr>
      <vt:lpstr>КБ40Д!Область_печати</vt:lpstr>
      <vt:lpstr>КБ61В!Область_печати</vt:lpstr>
      <vt:lpstr>'МИра122-2'!Область_печати</vt:lpstr>
      <vt:lpstr>ШК104!Область_печати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2026-03-27T05:37:58Z</cp:lastPrinted>
  <dcterms:created xsi:type="dcterms:W3CDTF">2024-03-22T09:19:00Z</dcterms:created>
  <dcterms:modified xsi:type="dcterms:W3CDTF">2026-03-27T05:49:49Z</dcterms:modified>
</cp:coreProperties>
</file>