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E:\Чекмарева Алена\Загрузки\Текущий ремонт 26г\"/>
    </mc:Choice>
  </mc:AlternateContent>
  <bookViews>
    <workbookView xWindow="-108" yWindow="-108" windowWidth="19416" windowHeight="10416" tabRatio="778"/>
  </bookViews>
  <sheets>
    <sheet name="МКД К.Беляева 40 Б" sheetId="1" r:id="rId1"/>
    <sheet name="МКД К.Беляева 40В" sheetId="6" r:id="rId2"/>
    <sheet name="МКД К.Беляева 40 Г" sheetId="7" r:id="rId3"/>
    <sheet name="МКД К.Беляева 40 Д" sheetId="8" r:id="rId4"/>
    <sheet name="МКД К.Беляева 61В" sheetId="12" r:id="rId5"/>
    <sheet name="МКД Ш.Космонавтов ,104" sheetId="13" r:id="rId6"/>
    <sheet name="МКД Мира ,122_2" sheetId="16" r:id="rId7"/>
    <sheet name="ТК МКД К.Беляева 40 Б" sheetId="5" r:id="rId8"/>
    <sheet name="ТК МКД К.Беляева 40 В" sheetId="9" r:id="rId9"/>
    <sheet name="ТК МКД К.Беляева 40 Г" sheetId="10" r:id="rId10"/>
    <sheet name="ТК МКД К.Беляева 40 Д" sheetId="11" r:id="rId11"/>
    <sheet name="ТК МКД Ш.Космонавтов,104" sheetId="14" r:id="rId12"/>
    <sheet name="ТК МКД Мира ,122-2" sheetId="15" r:id="rId13"/>
    <sheet name="ТК МКД К. Беляева61в" sheetId="18" r:id="rId14"/>
    <sheet name="ОпцииПеречня" sheetId="3" state="hidden" r:id="rId15"/>
    <sheet name="conf" sheetId="4" state="hidden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 localSheetId="10">'ТК МКД К.Беляева 40 Д'!$A$1:$BT$13</definedName>
    <definedName name="Справочник_работ_и_услуг">OFFSET(#REF!,,,COUNTA(#REF!))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14" i="9" l="1"/>
  <c r="E8" i="18"/>
  <c r="E7" i="15"/>
  <c r="F6" i="14"/>
  <c r="BE6" i="11"/>
  <c r="AL6" i="10"/>
  <c r="AS6" i="9"/>
  <c r="AN6" i="5"/>
  <c r="AN10" i="5" l="1"/>
  <c r="D17" i="13" l="1"/>
  <c r="G28" i="13" l="1"/>
  <c r="G27" i="13"/>
  <c r="D28" i="13"/>
  <c r="F5" i="14" l="1"/>
  <c r="E6" i="15" l="1"/>
  <c r="D25" i="12" l="1"/>
  <c r="E9" i="18" l="1"/>
  <c r="D26" i="12"/>
  <c r="G21" i="12"/>
  <c r="G17" i="12"/>
  <c r="D17" i="12"/>
  <c r="C16" i="12"/>
  <c r="D16" i="12" s="1"/>
  <c r="G16" i="12" s="1"/>
  <c r="G15" i="12"/>
  <c r="D15" i="12"/>
  <c r="C14" i="12"/>
  <c r="D14" i="12" s="1"/>
  <c r="G14" i="12" s="1"/>
  <c r="C13" i="12"/>
  <c r="D13" i="12" s="1"/>
  <c r="G13" i="12" s="1"/>
  <c r="C12" i="12"/>
  <c r="D12" i="12" s="1"/>
  <c r="G12" i="12" s="1"/>
  <c r="D11" i="12"/>
  <c r="G11" i="12" s="1"/>
  <c r="C11" i="12"/>
  <c r="C10" i="12"/>
  <c r="D10" i="12" s="1"/>
  <c r="G10" i="12" s="1"/>
  <c r="C9" i="12"/>
  <c r="D9" i="12" s="1"/>
  <c r="G9" i="12" s="1"/>
  <c r="C8" i="12"/>
  <c r="D8" i="12" s="1"/>
  <c r="G8" i="12" s="1"/>
  <c r="D7" i="12"/>
  <c r="G7" i="12" s="1"/>
  <c r="C7" i="12"/>
  <c r="C6" i="12"/>
  <c r="D6" i="12" s="1"/>
  <c r="G6" i="12" s="1"/>
  <c r="B5" i="12"/>
  <c r="B21" i="12" s="1"/>
  <c r="C4" i="12"/>
  <c r="BE5" i="11"/>
  <c r="C5" i="12" l="1"/>
  <c r="D5" i="12" s="1"/>
  <c r="G5" i="12" s="1"/>
  <c r="D4" i="12"/>
  <c r="C23" i="12" l="1"/>
  <c r="C24" i="12" s="1"/>
  <c r="C18" i="12"/>
  <c r="D18" i="12"/>
  <c r="G4" i="12"/>
  <c r="G18" i="12" s="1"/>
  <c r="E21" i="18"/>
  <c r="D19" i="12" l="1"/>
  <c r="G19" i="12" s="1"/>
  <c r="D20" i="12" l="1"/>
  <c r="G20" i="12" s="1"/>
  <c r="E8" i="15" l="1"/>
  <c r="C22" i="16" l="1"/>
  <c r="C21" i="16"/>
  <c r="C20" i="16"/>
  <c r="C19" i="16"/>
  <c r="C18" i="16"/>
  <c r="C17" i="16"/>
  <c r="C16" i="16"/>
  <c r="C15" i="16"/>
  <c r="C14" i="16"/>
  <c r="C13" i="16"/>
  <c r="C12" i="16"/>
  <c r="C10" i="16"/>
  <c r="B9" i="16"/>
  <c r="B23" i="16" s="1"/>
  <c r="D8" i="16"/>
  <c r="G8" i="16" s="1"/>
  <c r="C8" i="16"/>
  <c r="B7" i="16"/>
  <c r="G7" i="16" s="1"/>
  <c r="G6" i="16"/>
  <c r="E6" i="16"/>
  <c r="C6" i="16"/>
  <c r="C23" i="16" l="1"/>
  <c r="C7" i="16"/>
  <c r="E7" i="16"/>
  <c r="E8" i="16"/>
  <c r="D9" i="16"/>
  <c r="D10" i="16" s="1"/>
  <c r="C9" i="16"/>
  <c r="E10" i="16" l="1"/>
  <c r="D11" i="16"/>
  <c r="G10" i="16"/>
  <c r="E9" i="16"/>
  <c r="G9" i="16"/>
  <c r="G11" i="16" l="1"/>
  <c r="E11" i="16"/>
  <c r="D12" i="16"/>
  <c r="G12" i="16" l="1"/>
  <c r="D13" i="16"/>
  <c r="E12" i="16"/>
  <c r="G13" i="16" l="1"/>
  <c r="D14" i="16"/>
  <c r="E13" i="16"/>
  <c r="G14" i="16" l="1"/>
  <c r="D15" i="16"/>
  <c r="E14" i="16"/>
  <c r="G15" i="16" l="1"/>
  <c r="D16" i="16"/>
  <c r="E15" i="16"/>
  <c r="G16" i="16" l="1"/>
  <c r="E16" i="16"/>
  <c r="D17" i="16"/>
  <c r="G17" i="16" l="1"/>
  <c r="D18" i="16"/>
  <c r="E17" i="16"/>
  <c r="G18" i="16" l="1"/>
  <c r="E18" i="16"/>
  <c r="D19" i="16"/>
  <c r="G19" i="16" l="1"/>
  <c r="D20" i="16"/>
  <c r="E19" i="16"/>
  <c r="G20" i="16" l="1"/>
  <c r="E20" i="16"/>
  <c r="D21" i="16"/>
  <c r="G21" i="16" l="1"/>
  <c r="D22" i="16"/>
  <c r="E21" i="16"/>
  <c r="G22" i="16" l="1"/>
  <c r="D23" i="16"/>
  <c r="E22" i="16"/>
  <c r="G23" i="16" l="1"/>
  <c r="E23" i="16"/>
  <c r="F29" i="15" l="1"/>
  <c r="E13" i="15"/>
  <c r="S9" i="15"/>
  <c r="S13" i="15" s="1"/>
  <c r="AS5" i="9" l="1"/>
  <c r="AN5" i="5"/>
  <c r="BE7" i="11" l="1"/>
  <c r="AL7" i="10"/>
  <c r="AS7" i="9"/>
  <c r="AN7" i="5"/>
  <c r="AL10" i="10" l="1"/>
  <c r="F7" i="14" l="1"/>
  <c r="C42" i="14"/>
  <c r="F37" i="14"/>
  <c r="M35" i="14"/>
  <c r="N35" i="14" s="1"/>
  <c r="L35" i="14"/>
  <c r="B35" i="14"/>
  <c r="C35" i="14" s="1"/>
  <c r="D35" i="14" s="1"/>
  <c r="C29" i="14"/>
  <c r="C28" i="14"/>
  <c r="A23" i="14"/>
  <c r="E23" i="14" s="1"/>
  <c r="F20" i="14"/>
  <c r="A24" i="14" l="1"/>
  <c r="D8" i="13" l="1"/>
  <c r="I8" i="13" s="1"/>
  <c r="D16" i="13"/>
  <c r="E16" i="13" s="1"/>
  <c r="I36" i="13"/>
  <c r="F36" i="13"/>
  <c r="D32" i="13"/>
  <c r="F25" i="13" s="1"/>
  <c r="K28" i="13"/>
  <c r="K27" i="13"/>
  <c r="K26" i="13"/>
  <c r="E25" i="13"/>
  <c r="C24" i="13"/>
  <c r="E23" i="13"/>
  <c r="D21" i="13"/>
  <c r="E20" i="13"/>
  <c r="D19" i="13"/>
  <c r="E19" i="13" s="1"/>
  <c r="D18" i="13"/>
  <c r="E18" i="13" s="1"/>
  <c r="D15" i="13"/>
  <c r="E15" i="13" s="1"/>
  <c r="D14" i="13"/>
  <c r="E14" i="13" s="1"/>
  <c r="D13" i="13"/>
  <c r="E13" i="13" s="1"/>
  <c r="D12" i="13"/>
  <c r="E12" i="13" s="1"/>
  <c r="D11" i="13"/>
  <c r="E11" i="13" s="1"/>
  <c r="A11" i="13"/>
  <c r="D10" i="13"/>
  <c r="E10" i="13" s="1"/>
  <c r="G9" i="13"/>
  <c r="H9" i="13" s="1"/>
  <c r="D9" i="13"/>
  <c r="E9" i="13" s="1"/>
  <c r="A9" i="13"/>
  <c r="H8" i="13"/>
  <c r="E21" i="13" l="1"/>
  <c r="I9" i="13"/>
  <c r="K9" i="13" s="1"/>
  <c r="G10" i="13"/>
  <c r="I10" i="13" s="1"/>
  <c r="D22" i="13"/>
  <c r="E8" i="13"/>
  <c r="F30" i="13"/>
  <c r="F31" i="13" s="1"/>
  <c r="G11" i="13" l="1"/>
  <c r="I11" i="13" s="1"/>
  <c r="H10" i="13"/>
  <c r="K10" i="13"/>
  <c r="D24" i="13"/>
  <c r="K8" i="13"/>
  <c r="E22" i="13"/>
  <c r="K11" i="13" l="1"/>
  <c r="H11" i="13"/>
  <c r="G12" i="13"/>
  <c r="I12" i="13" s="1"/>
  <c r="E24" i="13"/>
  <c r="H12" i="13" l="1"/>
  <c r="G13" i="13"/>
  <c r="I13" i="13" s="1"/>
  <c r="K12" i="13"/>
  <c r="H13" i="13" l="1"/>
  <c r="K13" i="13"/>
  <c r="G14" i="13"/>
  <c r="I14" i="13" s="1"/>
  <c r="H14" i="13" l="1"/>
  <c r="G15" i="13"/>
  <c r="I15" i="13" s="1"/>
  <c r="K14" i="13"/>
  <c r="H15" i="13" l="1"/>
  <c r="G16" i="13"/>
  <c r="I16" i="13" s="1"/>
  <c r="K15" i="13"/>
  <c r="H16" i="13" l="1"/>
  <c r="K16" i="13"/>
  <c r="G17" i="13"/>
  <c r="K17" i="13" l="1"/>
  <c r="H17" i="13"/>
  <c r="G18" i="13"/>
  <c r="I18" i="13" s="1"/>
  <c r="K18" i="13" l="1"/>
  <c r="H18" i="13"/>
  <c r="G19" i="13"/>
  <c r="I19" i="13" s="1"/>
  <c r="K19" i="13" l="1"/>
  <c r="H19" i="13"/>
  <c r="G20" i="13"/>
  <c r="I20" i="13" s="1"/>
  <c r="H20" i="13" l="1"/>
  <c r="K20" i="13"/>
  <c r="G21" i="13"/>
  <c r="I21" i="13" s="1"/>
  <c r="H21" i="13" l="1"/>
  <c r="K21" i="13"/>
  <c r="G22" i="13"/>
  <c r="H22" i="13" l="1"/>
  <c r="G23" i="13"/>
  <c r="I22" i="13"/>
  <c r="K22" i="13" s="1"/>
  <c r="G24" i="13" l="1"/>
  <c r="G25" i="13" s="1"/>
  <c r="I23" i="13"/>
  <c r="K23" i="13" s="1"/>
  <c r="H23" i="13"/>
  <c r="I24" i="13" l="1"/>
  <c r="C30" i="13" l="1"/>
  <c r="H25" i="13"/>
  <c r="I25" i="13"/>
  <c r="K25" i="13" s="1"/>
  <c r="D30" i="13"/>
  <c r="F32" i="13"/>
  <c r="B31" i="8" l="1"/>
  <c r="B31" i="7"/>
  <c r="B31" i="6"/>
  <c r="AN14" i="5" l="1"/>
  <c r="B32" i="8" l="1"/>
  <c r="B14" i="8"/>
  <c r="B32" i="7"/>
  <c r="B14" i="7"/>
  <c r="AN16" i="5" l="1"/>
  <c r="BE13" i="11" l="1"/>
  <c r="AL13" i="10" l="1"/>
  <c r="AS18" i="9" l="1"/>
  <c r="G5" i="5" l="1"/>
  <c r="X16" i="5"/>
  <c r="E18" i="5"/>
  <c r="H18" i="5"/>
  <c r="V18" i="5"/>
  <c r="X18" i="5" s="1"/>
  <c r="V19" i="5"/>
  <c r="V20" i="5"/>
  <c r="V21" i="5"/>
  <c r="V22" i="5"/>
  <c r="V26" i="5"/>
  <c r="W26" i="5"/>
  <c r="V27" i="5"/>
  <c r="C28" i="5"/>
  <c r="E28" i="5"/>
  <c r="G28" i="5" s="1"/>
  <c r="H28" i="5" s="1"/>
  <c r="V28" i="5" s="1"/>
  <c r="G29" i="5"/>
  <c r="E30" i="5"/>
  <c r="H30" i="5"/>
  <c r="V30" i="5"/>
  <c r="X30" i="5" s="1"/>
  <c r="X31" i="5"/>
  <c r="D44" i="5"/>
  <c r="AD15" i="5"/>
  <c r="AG15" i="5"/>
  <c r="AH15" i="5" s="1"/>
  <c r="AC18" i="5"/>
  <c r="AE18" i="5"/>
  <c r="AG18" i="5" s="1"/>
  <c r="AH18" i="5" s="1"/>
  <c r="AE19" i="5"/>
  <c r="AH19" i="5"/>
  <c r="AE20" i="5"/>
  <c r="AE21" i="5"/>
  <c r="AD23" i="5"/>
  <c r="AG23" i="5"/>
  <c r="AH23" i="5" s="1"/>
  <c r="AE24" i="5"/>
  <c r="AH24" i="5"/>
  <c r="AH28" i="5"/>
  <c r="G32" i="5" l="1"/>
  <c r="H32" i="5"/>
  <c r="X28" i="5"/>
  <c r="V32" i="5"/>
  <c r="AG25" i="5"/>
  <c r="AE15" i="5"/>
  <c r="AH25" i="5"/>
  <c r="AE23" i="5"/>
  <c r="AE16" i="5"/>
  <c r="C4" i="8"/>
  <c r="C5" i="8" s="1"/>
  <c r="E5" i="8" s="1"/>
  <c r="C4" i="7"/>
  <c r="E4" i="7" s="1"/>
  <c r="C3" i="7"/>
  <c r="C10" i="7" s="1"/>
  <c r="C4" i="6"/>
  <c r="C5" i="6" s="1"/>
  <c r="D16" i="7"/>
  <c r="E3" i="7"/>
  <c r="D16" i="8"/>
  <c r="E3" i="8"/>
  <c r="E18" i="6"/>
  <c r="D16" i="6"/>
  <c r="B14" i="6"/>
  <c r="E3" i="6"/>
  <c r="E4" i="1"/>
  <c r="E31" i="1"/>
  <c r="E4" i="8" l="1"/>
  <c r="E4" i="6"/>
  <c r="E5" i="6"/>
  <c r="C6" i="6"/>
  <c r="C5" i="7"/>
  <c r="E5" i="7" s="1"/>
  <c r="G35" i="5"/>
  <c r="X32" i="5"/>
  <c r="V33" i="5"/>
  <c r="V39" i="5"/>
  <c r="C6" i="8"/>
  <c r="C6" i="7"/>
  <c r="B32" i="6"/>
  <c r="E10" i="7"/>
  <c r="C7" i="6" l="1"/>
  <c r="E6" i="6"/>
  <c r="C7" i="8"/>
  <c r="E6" i="8"/>
  <c r="C7" i="7"/>
  <c r="E6" i="7"/>
  <c r="E7" i="6" l="1"/>
  <c r="C8" i="6"/>
  <c r="E7" i="8"/>
  <c r="C8" i="8"/>
  <c r="E7" i="7"/>
  <c r="C8" i="7"/>
  <c r="E8" i="6" l="1"/>
  <c r="C9" i="6"/>
  <c r="C9" i="8"/>
  <c r="E8" i="8"/>
  <c r="E8" i="7"/>
  <c r="C9" i="7"/>
  <c r="C10" i="6" l="1"/>
  <c r="E10" i="6" s="1"/>
  <c r="E9" i="6"/>
  <c r="C11" i="6"/>
  <c r="E9" i="8"/>
  <c r="C10" i="8"/>
  <c r="E9" i="7"/>
  <c r="C11" i="7"/>
  <c r="E11" i="6" l="1"/>
  <c r="C12" i="6"/>
  <c r="C11" i="8"/>
  <c r="E10" i="8"/>
  <c r="E11" i="7"/>
  <c r="C12" i="7"/>
  <c r="E30" i="1"/>
  <c r="E27" i="1"/>
  <c r="E17" i="1"/>
  <c r="E3" i="1"/>
  <c r="B32" i="1" l="1"/>
  <c r="E32" i="1" s="1"/>
  <c r="AG28" i="5"/>
  <c r="H35" i="5"/>
  <c r="G33" i="5"/>
  <c r="K35" i="5" s="1"/>
  <c r="C13" i="6"/>
  <c r="E12" i="6"/>
  <c r="C12" i="8"/>
  <c r="E11" i="8"/>
  <c r="E12" i="7"/>
  <c r="C13" i="7"/>
  <c r="C14" i="6" l="1"/>
  <c r="E13" i="6"/>
  <c r="E12" i="8"/>
  <c r="C13" i="8"/>
  <c r="C14" i="7"/>
  <c r="E13" i="7"/>
  <c r="C15" i="6" l="1"/>
  <c r="E14" i="6"/>
  <c r="E13" i="8"/>
  <c r="C14" i="8"/>
  <c r="C15" i="7"/>
  <c r="E14" i="7"/>
  <c r="AN25" i="9"/>
  <c r="Y18" i="6"/>
  <c r="X17" i="1"/>
  <c r="X18" i="1" s="1"/>
  <c r="C16" i="6" l="1"/>
  <c r="E15" i="6"/>
  <c r="C15" i="8"/>
  <c r="E14" i="8"/>
  <c r="E15" i="7"/>
  <c r="C16" i="7"/>
  <c r="AF24" i="10"/>
  <c r="AF22" i="10"/>
  <c r="AF16" i="10"/>
  <c r="AF13" i="10"/>
  <c r="AF12" i="10"/>
  <c r="C17" i="6" l="1"/>
  <c r="E17" i="6" s="1"/>
  <c r="E16" i="6"/>
  <c r="C19" i="6"/>
  <c r="C16" i="8"/>
  <c r="E15" i="8"/>
  <c r="E16" i="7"/>
  <c r="C18" i="7"/>
  <c r="C17" i="7"/>
  <c r="E17" i="7" s="1"/>
  <c r="BU30" i="11"/>
  <c r="BU28" i="11"/>
  <c r="BU15" i="11"/>
  <c r="BU9" i="11"/>
  <c r="C20" i="6" l="1"/>
  <c r="E19" i="6"/>
  <c r="E16" i="8"/>
  <c r="C17" i="8"/>
  <c r="E18" i="7"/>
  <c r="C19" i="7"/>
  <c r="BU32" i="11"/>
  <c r="AJ6" i="11"/>
  <c r="AJ5" i="11"/>
  <c r="AH13" i="10"/>
  <c r="AO17" i="9"/>
  <c r="AH12" i="9"/>
  <c r="AL17" i="9"/>
  <c r="AJ17" i="9" s="1"/>
  <c r="AJ12" i="9"/>
  <c r="AL12" i="9" s="1"/>
  <c r="AJ10" i="9"/>
  <c r="AJ9" i="9"/>
  <c r="AF9" i="9"/>
  <c r="AF11" i="9"/>
  <c r="AF28" i="9"/>
  <c r="AF31" i="9"/>
  <c r="AL26" i="9" l="1"/>
  <c r="E20" i="6"/>
  <c r="C21" i="6"/>
  <c r="C18" i="8"/>
  <c r="E17" i="8"/>
  <c r="G17" i="8"/>
  <c r="G18" i="8" s="1"/>
  <c r="C20" i="7"/>
  <c r="E19" i="7"/>
  <c r="AH26" i="9"/>
  <c r="AO18" i="9" s="1"/>
  <c r="AH27" i="9"/>
  <c r="AH11" i="9"/>
  <c r="C22" i="6" l="1"/>
  <c r="E21" i="6"/>
  <c r="C19" i="8"/>
  <c r="E18" i="8"/>
  <c r="C21" i="7"/>
  <c r="E20" i="7"/>
  <c r="AQ42" i="11"/>
  <c r="AW30" i="11"/>
  <c r="AW32" i="11"/>
  <c r="AW17" i="11"/>
  <c r="E22" i="6" l="1"/>
  <c r="C23" i="6"/>
  <c r="E19" i="8"/>
  <c r="C20" i="8"/>
  <c r="E21" i="7"/>
  <c r="C22" i="7"/>
  <c r="AD33" i="11"/>
  <c r="AC24" i="10"/>
  <c r="AC31" i="9"/>
  <c r="E23" i="6" l="1"/>
  <c r="C24" i="6"/>
  <c r="C21" i="8"/>
  <c r="E20" i="8"/>
  <c r="C23" i="7"/>
  <c r="E22" i="7"/>
  <c r="AF14" i="1"/>
  <c r="AE14" i="1" s="1"/>
  <c r="E7" i="1"/>
  <c r="E24" i="6" l="1"/>
  <c r="C25" i="6"/>
  <c r="E21" i="8"/>
  <c r="C22" i="8"/>
  <c r="E23" i="7"/>
  <c r="C24" i="7"/>
  <c r="AE23" i="10"/>
  <c r="AF23" i="10" s="1"/>
  <c r="AE30" i="9"/>
  <c r="AF30" i="9" s="1"/>
  <c r="C26" i="6" l="1"/>
  <c r="E25" i="6"/>
  <c r="C23" i="8"/>
  <c r="E22" i="8"/>
  <c r="C25" i="7"/>
  <c r="E24" i="7"/>
  <c r="AC30" i="9"/>
  <c r="AC23" i="10"/>
  <c r="W8" i="11"/>
  <c r="X38" i="11"/>
  <c r="X29" i="11"/>
  <c r="X34" i="11" s="1"/>
  <c r="X14" i="11"/>
  <c r="W15" i="11"/>
  <c r="V15" i="11"/>
  <c r="V16" i="11" s="1"/>
  <c r="V29" i="11" s="1"/>
  <c r="V34" i="11" s="1"/>
  <c r="W31" i="10"/>
  <c r="E38" i="9"/>
  <c r="G38" i="9" s="1"/>
  <c r="C38" i="9"/>
  <c r="V16" i="10"/>
  <c r="V22" i="10" s="1"/>
  <c r="V25" i="10" s="1"/>
  <c r="V28" i="10" s="1"/>
  <c r="V12" i="10"/>
  <c r="W28" i="9"/>
  <c r="W29" i="9" s="1"/>
  <c r="W33" i="9" s="1"/>
  <c r="W34" i="9" s="1"/>
  <c r="W35" i="9" s="1"/>
  <c r="C17" i="9"/>
  <c r="E26" i="6" l="1"/>
  <c r="C27" i="6"/>
  <c r="E23" i="8"/>
  <c r="C24" i="8"/>
  <c r="C26" i="7"/>
  <c r="E25" i="7"/>
  <c r="H38" i="9"/>
  <c r="V38" i="9" s="1"/>
  <c r="X38" i="9" s="1"/>
  <c r="E27" i="6" l="1"/>
  <c r="C28" i="6"/>
  <c r="C25" i="8"/>
  <c r="E24" i="8"/>
  <c r="E26" i="7"/>
  <c r="C28" i="7"/>
  <c r="C27" i="7"/>
  <c r="E27" i="7" s="1"/>
  <c r="G36" i="9"/>
  <c r="V36" i="9" s="1"/>
  <c r="AC29" i="9"/>
  <c r="AB8" i="10"/>
  <c r="AG9" i="11"/>
  <c r="AD9" i="11" s="1"/>
  <c r="AF9" i="11" s="1"/>
  <c r="AW9" i="11" s="1"/>
  <c r="AE8" i="10"/>
  <c r="E28" i="6" l="1"/>
  <c r="C29" i="6"/>
  <c r="E25" i="8"/>
  <c r="C26" i="8"/>
  <c r="E28" i="7"/>
  <c r="C29" i="7"/>
  <c r="AC8" i="10"/>
  <c r="AF8" i="10"/>
  <c r="H36" i="9"/>
  <c r="V9" i="9"/>
  <c r="E29" i="6" l="1"/>
  <c r="C30" i="6"/>
  <c r="E26" i="8"/>
  <c r="C28" i="8"/>
  <c r="C27" i="8"/>
  <c r="E27" i="8" s="1"/>
  <c r="E29" i="7"/>
  <c r="C30" i="7"/>
  <c r="G5" i="11"/>
  <c r="E8" i="11"/>
  <c r="H8" i="11"/>
  <c r="H9" i="11"/>
  <c r="E35" i="11"/>
  <c r="G37" i="11"/>
  <c r="E38" i="11"/>
  <c r="G38" i="11" s="1"/>
  <c r="W34" i="11"/>
  <c r="D37" i="11"/>
  <c r="C38" i="11"/>
  <c r="X39" i="9"/>
  <c r="X28" i="9"/>
  <c r="C31" i="6" l="1"/>
  <c r="E30" i="6"/>
  <c r="E28" i="8"/>
  <c r="C29" i="8"/>
  <c r="C31" i="7"/>
  <c r="E30" i="7"/>
  <c r="W37" i="11"/>
  <c r="W38" i="11"/>
  <c r="U22" i="10"/>
  <c r="AE17" i="9"/>
  <c r="AF17" i="9" s="1"/>
  <c r="V33" i="9"/>
  <c r="X33" i="9" s="1"/>
  <c r="V29" i="9"/>
  <c r="X29" i="9" s="1"/>
  <c r="V35" i="9"/>
  <c r="X35" i="9" s="1"/>
  <c r="V34" i="9"/>
  <c r="X34" i="9" s="1"/>
  <c r="V32" i="9"/>
  <c r="X32" i="9" s="1"/>
  <c r="C32" i="6" l="1"/>
  <c r="E32" i="6" s="1"/>
  <c r="E31" i="6"/>
  <c r="E29" i="8"/>
  <c r="C30" i="8"/>
  <c r="C32" i="7"/>
  <c r="E32" i="7" s="1"/>
  <c r="E31" i="7"/>
  <c r="U16" i="10"/>
  <c r="U30" i="10"/>
  <c r="W30" i="10" s="1"/>
  <c r="W12" i="10"/>
  <c r="W13" i="10"/>
  <c r="E30" i="10"/>
  <c r="E29" i="10"/>
  <c r="G29" i="10" s="1"/>
  <c r="U29" i="10" s="1"/>
  <c r="W29" i="10" s="1"/>
  <c r="C29" i="10"/>
  <c r="G14" i="10"/>
  <c r="W14" i="10" s="1"/>
  <c r="D14" i="10"/>
  <c r="E13" i="10"/>
  <c r="H8" i="10"/>
  <c r="G5" i="10"/>
  <c r="AC22" i="10"/>
  <c r="AC14" i="10"/>
  <c r="AC13" i="10"/>
  <c r="AC12" i="10"/>
  <c r="AC16" i="10"/>
  <c r="AD29" i="11"/>
  <c r="AD15" i="11"/>
  <c r="AD14" i="11"/>
  <c r="AF8" i="11"/>
  <c r="AS19" i="9" l="1"/>
  <c r="C31" i="8"/>
  <c r="E30" i="8"/>
  <c r="AD30" i="8" s="1"/>
  <c r="AF25" i="10"/>
  <c r="AF34" i="11"/>
  <c r="AW34" i="11"/>
  <c r="AE25" i="10"/>
  <c r="G32" i="10"/>
  <c r="G33" i="10" s="1"/>
  <c r="G8" i="10"/>
  <c r="C32" i="8" l="1"/>
  <c r="E32" i="8" s="1"/>
  <c r="E31" i="8"/>
  <c r="E8" i="10"/>
  <c r="W8" i="10"/>
  <c r="AD31" i="8" l="1"/>
  <c r="BE17" i="11"/>
  <c r="AC9" i="9"/>
  <c r="AC26" i="9"/>
  <c r="AC17" i="9"/>
  <c r="AC12" i="9"/>
  <c r="AE12" i="9" s="1"/>
  <c r="AC10" i="9"/>
  <c r="AF12" i="9" l="1"/>
  <c r="AF32" i="9" s="1"/>
  <c r="AE32" i="9"/>
  <c r="Y35" i="11" l="1"/>
  <c r="Y8" i="11"/>
  <c r="X17" i="9"/>
  <c r="Y14" i="11"/>
  <c r="Y15" i="11"/>
  <c r="Y34" i="11" l="1"/>
  <c r="V37" i="9"/>
  <c r="X37" i="9" s="1"/>
  <c r="V10" i="9"/>
  <c r="X10" i="9" l="1"/>
  <c r="U32" i="10"/>
  <c r="U33" i="10" l="1"/>
  <c r="AE5" i="10" s="1"/>
  <c r="G12" i="9" l="1"/>
  <c r="X12" i="9" s="1"/>
  <c r="E11" i="9"/>
  <c r="H10" i="9"/>
  <c r="E10" i="9"/>
  <c r="H9" i="9"/>
  <c r="G9" i="9"/>
  <c r="X9" i="9" s="1"/>
  <c r="E12" i="9" l="1"/>
  <c r="J7" i="6"/>
  <c r="K7" i="6" s="1"/>
  <c r="Y29" i="11"/>
  <c r="G5" i="9"/>
  <c r="E37" i="9"/>
  <c r="E27" i="9"/>
  <c r="G27" i="9" s="1"/>
  <c r="C27" i="9"/>
  <c r="G26" i="9"/>
  <c r="D26" i="9"/>
  <c r="D36" i="9" s="1"/>
  <c r="AE6" i="9" l="1"/>
  <c r="AL6" i="9" s="1"/>
  <c r="V27" i="9"/>
  <c r="X27" i="9" s="1"/>
  <c r="Y16" i="11"/>
  <c r="V26" i="9"/>
  <c r="M7" i="6"/>
  <c r="N7" i="6"/>
  <c r="L7" i="6"/>
  <c r="G40" i="9"/>
  <c r="V40" i="9" l="1"/>
  <c r="D43" i="5" s="1"/>
  <c r="D45" i="5" s="1"/>
  <c r="AF5" i="11"/>
  <c r="Y37" i="11"/>
  <c r="X26" i="9"/>
  <c r="G41" i="9"/>
  <c r="G43" i="9"/>
  <c r="J7" i="8"/>
  <c r="K7" i="8" s="1"/>
  <c r="J7" i="7"/>
  <c r="M7" i="7" s="1"/>
  <c r="E10" i="1"/>
  <c r="E9" i="1"/>
  <c r="E6" i="1"/>
  <c r="J8" i="1"/>
  <c r="K8" i="1" s="1"/>
  <c r="E5" i="1"/>
  <c r="AF6" i="11" l="1"/>
  <c r="AW35" i="11" s="1"/>
  <c r="AG7" i="5"/>
  <c r="AE6" i="10"/>
  <c r="AF38" i="11"/>
  <c r="AF37" i="11" s="1"/>
  <c r="E8" i="1"/>
  <c r="V41" i="9"/>
  <c r="X40" i="9"/>
  <c r="L8" i="1"/>
  <c r="L7" i="8"/>
  <c r="M7" i="8"/>
  <c r="M8" i="1"/>
  <c r="N7" i="7"/>
  <c r="K7" i="7"/>
  <c r="N8" i="1"/>
  <c r="L7" i="7"/>
  <c r="N7" i="8"/>
  <c r="AE5" i="9" l="1"/>
  <c r="AL5" i="9" s="1"/>
  <c r="AL27" i="9" s="1"/>
  <c r="V35" i="5"/>
  <c r="AF35" i="11"/>
  <c r="BU33" i="11" s="1"/>
  <c r="AE26" i="10"/>
  <c r="AF26" i="10"/>
  <c r="AE33" i="9" l="1"/>
  <c r="AF33" i="9"/>
  <c r="AG5" i="5"/>
  <c r="AH26" i="5" l="1"/>
  <c r="AG26" i="5"/>
  <c r="F21" i="14" l="1"/>
  <c r="E14" i="15" l="1"/>
  <c r="E40" i="15" l="1"/>
  <c r="S14" i="15"/>
  <c r="S34" i="15" s="1"/>
  <c r="V6" i="15"/>
  <c r="W6" i="15" s="1"/>
  <c r="W9" i="15" s="1"/>
  <c r="AL5" i="10" l="1"/>
  <c r="AL16" i="10" s="1"/>
  <c r="E7" i="18" l="1"/>
  <c r="E22" i="18" s="1"/>
</calcChain>
</file>

<file path=xl/comments1.xml><?xml version="1.0" encoding="utf-8"?>
<comments xmlns="http://schemas.openxmlformats.org/spreadsheetml/2006/main">
  <authors>
    <author>Автор</author>
  </authors>
  <commentList>
    <comment ref="B28" authorId="0" shapeId="0">
      <text>
        <r>
          <rPr>
            <b/>
            <sz val="9"/>
            <color indexed="81"/>
            <rFont val="Tahoma"/>
            <family val="2"/>
            <charset val="204"/>
          </rPr>
          <t>убрать план уборка снега 800тыс. В год</t>
        </r>
      </text>
    </comment>
    <comment ref="B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убрать  кошение газона  план 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28" authorId="0" shapeId="0">
      <text>
        <r>
          <rPr>
            <b/>
            <sz val="9"/>
            <color indexed="81"/>
            <rFont val="Tahoma"/>
            <family val="2"/>
            <charset val="204"/>
          </rPr>
          <t>убрать план уборка снега 800тыс. В год</t>
        </r>
      </text>
    </comment>
    <comment ref="B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убрать  кошение газона  план 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B28" authorId="0" shapeId="0">
      <text>
        <r>
          <rPr>
            <b/>
            <sz val="9"/>
            <color indexed="81"/>
            <rFont val="Tahoma"/>
            <family val="2"/>
            <charset val="204"/>
          </rPr>
          <t>убрать план уборка снега 800тыс. В год</t>
        </r>
      </text>
    </comment>
    <comment ref="B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убрать  кошение газона  план 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B28" authorId="0" shapeId="0">
      <text>
        <r>
          <rPr>
            <b/>
            <sz val="9"/>
            <color indexed="81"/>
            <rFont val="Tahoma"/>
            <family val="2"/>
            <charset val="204"/>
          </rPr>
          <t>убрать план уборка снега 800тыс. В год</t>
        </r>
      </text>
    </comment>
    <comment ref="B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убрать  кошение газона  план </t>
        </r>
      </text>
    </comment>
  </commentList>
</comments>
</file>

<file path=xl/comments5.xml><?xml version="1.0" encoding="utf-8"?>
<comments xmlns="http://schemas.openxmlformats.org/spreadsheetml/2006/main">
  <authors>
    <author>admin</author>
  </authors>
  <commentList>
    <comment ref="V5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оплата</t>
        </r>
      </text>
    </comment>
    <comment ref="C30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кол-во дверей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план+ остаток2019- тариф</t>
        </r>
      </text>
    </comment>
  </commentList>
</comments>
</file>

<file path=xl/comments6.xml><?xml version="1.0" encoding="utf-8"?>
<comments xmlns="http://schemas.openxmlformats.org/spreadsheetml/2006/main">
  <authors>
    <author>admin</author>
  </authors>
  <commentList>
    <comment ref="AL27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план+ остаток2019- тариф</t>
        </r>
      </text>
    </comment>
    <comment ref="AE33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план+ остаток2019- тариф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кол-во дверей</t>
        </r>
      </text>
    </comment>
    <comment ref="G41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план+ остаток2019- тариф</t>
        </r>
      </text>
    </comment>
  </commentList>
</comments>
</file>

<file path=xl/comments7.xml><?xml version="1.0" encoding="utf-8"?>
<comments xmlns="http://schemas.openxmlformats.org/spreadsheetml/2006/main">
  <authors>
    <author>admin</author>
  </authors>
  <commentList>
    <comment ref="AE26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план+ остаток2019- тариф</t>
        </r>
      </text>
    </comment>
    <comment ref="C30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кол-во дверей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план+ остаток2019- тариф</t>
        </r>
      </text>
    </comment>
  </commentList>
</comments>
</file>

<file path=xl/comments8.xml><?xml version="1.0" encoding="utf-8"?>
<comments xmlns="http://schemas.openxmlformats.org/spreadsheetml/2006/main">
  <authors>
    <author>admin</author>
  </authors>
  <commentList>
    <comment ref="AF35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план+ остаток2019- тариф</t>
        </r>
      </text>
    </comment>
  </commentList>
</comments>
</file>

<file path=xl/sharedStrings.xml><?xml version="1.0" encoding="utf-8"?>
<sst xmlns="http://schemas.openxmlformats.org/spreadsheetml/2006/main" count="1122" uniqueCount="393">
  <si>
    <t>houseGuid</t>
  </si>
  <si>
    <t>monthFrom</t>
  </si>
  <si>
    <t>yearFrom</t>
  </si>
  <si>
    <t>Период "с"</t>
  </si>
  <si>
    <t>Ссылка на дом в реестре адресных объектов (*)</t>
  </si>
  <si>
    <t>TYPE</t>
  </si>
  <si>
    <t>VERSION</t>
  </si>
  <si>
    <t>Период "по"</t>
  </si>
  <si>
    <t>Работа (услуга)</t>
  </si>
  <si>
    <t>Цена, руб.</t>
  </si>
  <si>
    <t>Итого-стоимость, руб.</t>
  </si>
  <si>
    <t>11.5.0.2</t>
  </si>
  <si>
    <t>PFRPERv2</t>
  </si>
  <si>
    <t>629092b7-d250-4c49-8971-43a934a4efbd</t>
  </si>
  <si>
    <t>12</t>
  </si>
  <si>
    <t>Цена за единицу</t>
  </si>
  <si>
    <t>Объем работ</t>
  </si>
  <si>
    <t>Итого работ</t>
  </si>
  <si>
    <t>Итого стоимость, руб.</t>
  </si>
  <si>
    <t>ед.изм</t>
  </si>
  <si>
    <t>гусев</t>
  </si>
  <si>
    <t>отоплен</t>
  </si>
  <si>
    <t>сан</t>
  </si>
  <si>
    <t>эл</t>
  </si>
  <si>
    <t>аварий</t>
  </si>
  <si>
    <t>Выполненные  работы по текущему ремонту:</t>
  </si>
  <si>
    <t>шт.</t>
  </si>
  <si>
    <t>Ремонт цоколя фасада, укладка камня</t>
  </si>
  <si>
    <t>м.кв.</t>
  </si>
  <si>
    <t>№</t>
  </si>
  <si>
    <t>Ремонтные работы по герметизации витражей фасада, чистка поверхностей витражей.</t>
  </si>
  <si>
    <t>Подготовка к отопительному сезону 2019-2020гг. Сдача опрессовки, промывка теплообменников ГВС ( замена вышедших из строя затворов, шаровых кранов, манометров, термометров и прочего оборудования)</t>
  </si>
  <si>
    <t>Местный ремонт этажных холлов, пожарной лестницы, мест общего пользования.</t>
  </si>
  <si>
    <t>замена редукторов давления.</t>
  </si>
  <si>
    <t>Ремонт инженерных коммуникаций, в т.ч.</t>
  </si>
  <si>
    <t>замена лежанок горячего водоснабжения;</t>
  </si>
  <si>
    <t>замена труб обвязки теплообменников ГВС;</t>
  </si>
  <si>
    <t>Частичный ремонт кровли, герметизация проходов коммуникаций, примыканий</t>
  </si>
  <si>
    <t>Текущий ремонт лифтового оборудования</t>
  </si>
  <si>
    <t>Замена масла в лебедке лифтов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</si>
  <si>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</si>
  <si>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</si>
  <si>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</si>
  <si>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</si>
  <si>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</si>
  <si>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</si>
  <si>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</si>
  <si>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</si>
  <si>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</si>
  <si>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</si>
  <si>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</si>
  <si>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</si>
  <si>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Остаток/ перерасход за 2019 год</t>
  </si>
  <si>
    <t>Итого работ, в сумме, в руб.</t>
  </si>
  <si>
    <t>Дефицит/ профицит</t>
  </si>
  <si>
    <t>3.1.</t>
  </si>
  <si>
    <t>3.2.</t>
  </si>
  <si>
    <t>3.3.</t>
  </si>
  <si>
    <t>Замена масла в лебедке лифтов, замена КВШ</t>
  </si>
  <si>
    <t>муниципальный 5,52</t>
  </si>
  <si>
    <t>мун</t>
  </si>
  <si>
    <t>тек</t>
  </si>
  <si>
    <t>с услугами банка</t>
  </si>
  <si>
    <t>7,3 упр</t>
  </si>
  <si>
    <t>Факт за 2020</t>
  </si>
  <si>
    <t>откл</t>
  </si>
  <si>
    <t>морилов</t>
  </si>
  <si>
    <t>парапет</t>
  </si>
  <si>
    <t>Местный ремонт холла первого этажа, мест общего пользования.</t>
  </si>
  <si>
    <t>Оплата товара- урны Космос 4 шт.</t>
  </si>
  <si>
    <t>факт, 6 мес.</t>
  </si>
  <si>
    <t>оплата</t>
  </si>
  <si>
    <t>факт стоимость и работа</t>
  </si>
  <si>
    <t>дефицит по 4 домам</t>
  </si>
  <si>
    <t>Остаток/ перерасход за 2020 год</t>
  </si>
  <si>
    <t>замена входных дверей?????</t>
  </si>
  <si>
    <t>Местный ремонт в местах общего пользования.
-ремонт деревянных дверей (регулировка, петли, ручки, доводчики)
-отделка стен лестницы с первого на цокольный этаж 
-окраска стен лифтового холла первого этажа
-окраска панелей фасада у входной группы</t>
  </si>
  <si>
    <t>Устройство резиновых (антискользящих) покрытий в местах повышенной проходимости жителей.</t>
  </si>
  <si>
    <t>п.м</t>
  </si>
  <si>
    <t>Электротехнические работы: 
-установка датчиков оптико-акустических в МОП
-замена вышедших из строя ламп и светильников светодиодными.</t>
  </si>
  <si>
    <t>Нанесение резинового покрытия на крыльцо входной группы.</t>
  </si>
  <si>
    <t>Окраска металлических ограждений декоративных конструкций на кровле.</t>
  </si>
  <si>
    <t>Утепление  вен. Канала Р17 и выхода на лоджии технического этажа</t>
  </si>
  <si>
    <t>м.п.</t>
  </si>
  <si>
    <t>Замена редукторов давления.</t>
  </si>
  <si>
    <t>Утверждаю:
Директор ООО "УК "А-Элита"
________________ Желтовских А.В.
"30" декабря 2020 года</t>
  </si>
  <si>
    <t>подотчет материалы</t>
  </si>
  <si>
    <t>обогреватель входная группа</t>
  </si>
  <si>
    <t>ремонт холлов, плитка откосы</t>
  </si>
  <si>
    <t>Частичный ремонт кровли, герметизация проходов коммуникаций, примыканий Ремонт парапетов, прочие</t>
  </si>
  <si>
    <t>лампы моп</t>
  </si>
  <si>
    <t>сантехника</t>
  </si>
  <si>
    <t>транспортные инженерные услуги</t>
  </si>
  <si>
    <t>Ремонт входных групп, ПВХ конструкции</t>
  </si>
  <si>
    <t>ремонт входных групп ПВХ</t>
  </si>
  <si>
    <t>ремонт входных групп  ПВХ</t>
  </si>
  <si>
    <t>Местный ремонт в местах общего пользования.
-ремонт деревянных дверей (регулировка, петли, ручки, доводчики)
-отделка стен лестницы с первого на цокольный этаж 
-окраска стен лифтового холла первого этажа
-окраска панелей фасада у входной группы 
- ремонтные работы на кровле</t>
  </si>
  <si>
    <t>откл от плана</t>
  </si>
  <si>
    <t>Факт за 2020г.</t>
  </si>
  <si>
    <t>всего по отчету</t>
  </si>
  <si>
    <t>Отчет по текущему ремонту МКД по адресу :г. Пермь, ул. Космонавта Беляева 40Б,  за 2020г.</t>
  </si>
  <si>
    <t>Отчет по текущему ремонту МКД по адресу :г. Пермь, ул. Космонавта Беляева 40Д,  за 2020г.</t>
  </si>
  <si>
    <t>Отчет по текущему ремонту МКД по адресу :г. Пермь, ул. Космонавта Беляева 40Г,  за 2020г.</t>
  </si>
  <si>
    <t>Отчет по текущему ремонту МКД по адресу :г. Пермь, ул. Космонавта Беляева 40В,  за 2020г.</t>
  </si>
  <si>
    <t>замена  поворотных затворов.</t>
  </si>
  <si>
    <t>Замена  поворотных затворов.</t>
  </si>
  <si>
    <t>Утверждаю:
Директор ООО "УК "А-Элита"
________________ Желтовских А.В.
"31" декабря 2020 года</t>
  </si>
  <si>
    <t>Пояснения</t>
  </si>
  <si>
    <t>перенос на 2021г</t>
  </si>
  <si>
    <t>дополнительно стоимость работ</t>
  </si>
  <si>
    <t>часть работ перенесли на 2021г.</t>
  </si>
  <si>
    <t>факт</t>
  </si>
  <si>
    <t>не учли в планировании</t>
  </si>
  <si>
    <t>повышение комфорта</t>
  </si>
  <si>
    <t>ремонтные работы</t>
  </si>
  <si>
    <t>подотчет материалы строительные</t>
  </si>
  <si>
    <t>Выполнение требований РСО</t>
  </si>
  <si>
    <t>регламент ТО</t>
  </si>
  <si>
    <t>на складе, установка в апреле 21г.</t>
  </si>
  <si>
    <t>м.п</t>
  </si>
  <si>
    <t>по факту</t>
  </si>
  <si>
    <t>текущий ремонт</t>
  </si>
  <si>
    <t>ремонт</t>
  </si>
  <si>
    <t>Примечание</t>
  </si>
  <si>
    <t>в т.ч. герметизация швов</t>
  </si>
  <si>
    <t>фактические расходы</t>
  </si>
  <si>
    <t>п.м.</t>
  </si>
  <si>
    <t>Факт оплаты за год</t>
  </si>
  <si>
    <t>Модернизация диспетчеризации управления лифтовым оборудованием(установка комплекса ОБЬ)</t>
  </si>
  <si>
    <t>План поступления за 2021 год без учета  неплатежей</t>
  </si>
  <si>
    <t>5.3.</t>
  </si>
  <si>
    <t>Факт на 01.09.21</t>
  </si>
  <si>
    <t>Ремонт детских площадок</t>
  </si>
  <si>
    <t>Замена деревянных дврей в холле перрвого этажа</t>
  </si>
  <si>
    <t>теплообменники</t>
  </si>
  <si>
    <t>замена дверей</t>
  </si>
  <si>
    <t>Остаток/ перерасход за 2021 год</t>
  </si>
  <si>
    <t>План поступления за 2022 год без учета  неплатежей</t>
  </si>
  <si>
    <t>Подготовка к отопительному сезону 2021-2022гг. Сдача опрессовки, промывка теплообменников ГВС ( замена вышедших из строя затворов, шаровых кранов, манометров, термометров и прочего оборудования)</t>
  </si>
  <si>
    <t>Ремонт отделки моп  первого этажа, лифтовых  и этажных холлов</t>
  </si>
  <si>
    <t>факт работ</t>
  </si>
  <si>
    <t>доходы ОИ</t>
  </si>
  <si>
    <t xml:space="preserve">Местный ремонт в местах общего пользования.
-ремонт деревянных дверей (регулировка, петли, ручки, доводчики)
-ремонт штукатурки стен  пожарной лестницы 
- покраска металлических ограждений </t>
  </si>
  <si>
    <t>Местный ремонт в местах общего пользования.
-ремонт деревянных дверей (регулировка, петли, ручки, доводчики)
- покраска металлических ограждений
- ремонт штукатурки пожарной лестницы</t>
  </si>
  <si>
    <t>Работы по текущему ремонту:</t>
  </si>
  <si>
    <t>2021 год</t>
  </si>
  <si>
    <t>План работ по статье текущий ремонт по МКД г. Пермь, ул. Космонавта Беляева 40Д, на 2021 год</t>
  </si>
  <si>
    <t>Утверждаю:
Директор ООО "УК "А-Элита"
________________ Желтовских А.В.
"30" декабря 2021года</t>
  </si>
  <si>
    <t>Услуги управления</t>
  </si>
  <si>
    <r>
      <t xml:space="preserve">Объем </t>
    </r>
    <r>
      <rPr>
        <sz val="12"/>
        <color rgb="FFFF0000"/>
        <rFont val="Times New Roman"/>
        <family val="1"/>
        <charset val="204"/>
      </rPr>
      <t>(площадь жилых и нежилых помещений)</t>
    </r>
  </si>
  <si>
    <r>
      <t xml:space="preserve">Кол-во </t>
    </r>
    <r>
      <rPr>
        <sz val="12"/>
        <color rgb="FFFF0000"/>
        <rFont val="Times New Roman"/>
        <family val="1"/>
        <charset val="204"/>
      </rPr>
      <t>(кол-во месяцев)</t>
    </r>
  </si>
  <si>
    <t>Устранение аварии на внутридомовых инженерных сетях в
домах, не оборудованных газовыми плитами</t>
  </si>
  <si>
    <t>Работы, выполняемые в целях надлежащего содержания систем аварийного освещения, пожаротушения, сигнализации, противопожарного водоснабжения, средств противопожарной защиты, противодымной защиты</t>
  </si>
  <si>
    <t>Работы по содержанию помещений, входящих в состав общего имущества в многоквартирном доме</t>
  </si>
  <si>
    <t>Влажная протирка подоконников, оконных решеток, перил лестниц, шкафов для электросчетчиков слаботочных устройств, почтовых ящиков, дверных коробок, полотен дверей, доводчиков, дверных ручек</t>
  </si>
  <si>
    <t>Размер платы за работы, необходимые для надлежащего содержания оборудования и систем инженерно-технического обеспечения, входящих в состав общего имущества в многоквартирном доме</t>
  </si>
  <si>
    <t>Работы, выполняемые в отношении всех видов фундаментов</t>
  </si>
  <si>
    <t>Работы, выполняемые для надлежащего содержания стен, колонн, столбов, лестниц, перегородок, подвалов, фасадов многоквартирных домов</t>
  </si>
  <si>
    <t>Работы, выполняемые в целях надлежащего содержания перекрытий, покрытий, балок (ригелей) многоквартирных домов</t>
  </si>
  <si>
    <t>Работы, выполняемые в целях надлежащего содержания крыш многоквартирных домов</t>
  </si>
  <si>
    <t>Работы, выполняемые в целях надлежащего содержания внутренней отделки многоквартирных домов</t>
  </si>
  <si>
    <t>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</si>
  <si>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Работы, выполняемые в целях надлежащего содержания систем вентиляции и дымоудаления многоквартирных домов</t>
  </si>
  <si>
    <t>Работы, выполняемые в целях надлежащего содержания лифта (лифтов) в многоквартирном доме</t>
  </si>
  <si>
    <t>Работы, выполняемые в целях надлежащего содержания электрооборудования, радио- и телекоммуникационного оборудования в многоквартирном доме</t>
  </si>
  <si>
    <t>Работы, выполняемые в целях надлежащего содержания индивидуальных тепловых пунктов и водоподкачек в многоквартирных домах: (пластинчатый бойлер)</t>
  </si>
  <si>
    <t>Общие работы, выполняемые для надлежащего содержания систем водоснабжения (холодного и горячего), отопления и водоотведения в многоквартирных домах:</t>
  </si>
  <si>
    <t>Работы, выполняемые в целях надлежащего содержания систем теплоснабжения (отопление, горячееводоснабжение) в многоквартирных домах</t>
  </si>
  <si>
    <t>Размер платы за работы и услуги по содержанию иного общего
имущества в многоквартирном доме</t>
  </si>
  <si>
    <t>Содержание контейнерных площадок</t>
  </si>
  <si>
    <t>Организация накопления отходов I - IV классов опасности (отработанных ртутьсодержащих ламп и др.) и их передача в организации, имеющие лицензии на осуществление деятельности по сбору, транспортированию, обработке, утилизации, обезвреживанию, размещению таких отходов.</t>
  </si>
  <si>
    <t>Работы по содержанию придомовой территории для многоквартирных домов в холодный период года: очистка кровли от снега, сбивание сосулек, очистка крышек люков колодцев и пожарных гидрантов от снега и льда толщиной слоя свыше 5 см; сдвигание свежевыпавшего снега и очистка придомовой территории от снега и льда при наличии колейности свыше 5 см; очистка придомовой территории от снега наносного происхождения (или подметание такой территории, свободной от снежного покрова); очистка придомовой территории от наледи и льда; очистка от мусора урн, установленных возле подъездов, и их промывка; уборка крыльца и площадки перед входом в подъезд (в т.ч. вывоз снега, механизированная уборка)</t>
  </si>
  <si>
    <t>Работы по содержанию придомовой территории для многоквартирных домов в теплый период года: подметание и уборка придомовой территории; очистка от мусора и промывка урн, установленных возле подъездов; уборка и выкашивание газонов; прочистка ливневой канализации; уборка крыльца и площадки перед входом в подъезд, очистка металлической решетки и приямка, в т.ч. кронирование деревьев.</t>
  </si>
  <si>
    <t>Расходы на оплату труда и отчисления на социальные нужды работников, занятых управлением многоквартирным домом, и прочие управленческие расходы</t>
  </si>
  <si>
    <t>Итого за содержание и техническое обслуживание общего имущества</t>
  </si>
  <si>
    <t>Размер платы за текущий ремонт жилого здания</t>
  </si>
  <si>
    <t>Мытье окон</t>
  </si>
  <si>
    <t>Очистка систем защиты от грязи (металлических решеток, ячеистых покрытий, приямков, текстильных матов)</t>
  </si>
  <si>
    <t>Проведение дератизации и дезинсекции помещений, входящих в состав общего имущества в многоквартирном доме</t>
  </si>
  <si>
    <t>Размер платы за работы, необходимые для надлежащего содержания несущих конструкций и не несущих конструкций МКД</t>
  </si>
  <si>
    <t>Работы по содержанию земельного участка, на котором расположен многоквартирный дом, с элементами озеленения и благоустройства, иными объектами, предназначенными для обслуживания и эксплуатации этого дома (далее - придомовая территория):</t>
  </si>
  <si>
    <t>Поступления от использования  общего имущества МКД</t>
  </si>
  <si>
    <t>Гусев</t>
  </si>
  <si>
    <t>Работы, выполняемые в целях надлежащего содержания систем теплоснабжения (отопление, горячее водоснабжение) в многоквартирных домах</t>
  </si>
  <si>
    <t>Установка дефлекторов над вытяжными шахтами на кровле</t>
  </si>
  <si>
    <t>2 дефлект</t>
  </si>
  <si>
    <t>2 дефлек.</t>
  </si>
  <si>
    <t>2025год</t>
  </si>
  <si>
    <t>1 услуга</t>
  </si>
  <si>
    <t>Утверждаю:
Директор ООО "УК "А-Элита"
________________ Желтовских А.В.
"22" декабря 2025 года</t>
  </si>
  <si>
    <t>Остаток/ перерасход за 2025 год</t>
  </si>
  <si>
    <t>Монтаж обвязки системы ХВС верхняя зона 25 этаж.(составлено в ценах 2025 года)</t>
  </si>
  <si>
    <t>1 констр.</t>
  </si>
  <si>
    <t>1констр.</t>
  </si>
  <si>
    <t>1 компл.</t>
  </si>
  <si>
    <t>1 комп.</t>
  </si>
  <si>
    <t xml:space="preserve">Замена кранов д 15 мм на распределительных гребенках системы отопления(1-14 этажи), материалы в ценах 12.2025г. </t>
  </si>
  <si>
    <t>Итого</t>
  </si>
  <si>
    <t xml:space="preserve">   План работ по статье текущий ремонт по МКД г. Пермь, ул. Космонавта Беляева 40Б, на 2026 год</t>
  </si>
  <si>
    <t>Замена распределительных гребенок системы отопления в ИТП , с заменой запорной арматуры ниж. и верх.зона, в ценах 2025 года</t>
  </si>
  <si>
    <t>План работ по статье текущий ремонт по МКД г. Пермь, ул. Космонавта Беляева 40В, на 2026 год</t>
  </si>
  <si>
    <t>2026год</t>
  </si>
  <si>
    <t>План работ по статье текущий ремонт по МКД г. Пермь, ул. Космонавта Беляева 40Г, на 2026 год</t>
  </si>
  <si>
    <t>Ремонт лифтовых холлов с 1 по 25 этажи, материалы в ценах 2025 года.</t>
  </si>
  <si>
    <t>25 этажей.</t>
  </si>
  <si>
    <t xml:space="preserve">Местный ремонт в местах общего пользования.
-ремонт деревянных дверей </t>
  </si>
  <si>
    <t>План работ по статье текущий ремонт по МКД г. Пермь, ул. Космонавта Беляева 40Д, на 2026 год</t>
  </si>
  <si>
    <t>Утверждаю:
Директор ООО "УК "А-Элита"
________________ Желтовских А.В.
"22" декабря 2025года</t>
  </si>
  <si>
    <t>2026 год</t>
  </si>
  <si>
    <t>Остаток/ перерасход за 2025год</t>
  </si>
  <si>
    <t>Сроки работ на 2027г.</t>
  </si>
  <si>
    <t>Перечень работ и услуг технического обслуживания и содержания МКД
 по адресу :г. Пермь, ул. Космонавта Беляева 40Б,  на 2026г.</t>
  </si>
  <si>
    <t>Замена распределительных гребенок системы отопления в ИТП , с заменой запорной арматуры ниж. и верх. Зона, в ценах 2025 года</t>
  </si>
  <si>
    <t>Перечень работ и услуг технического обслуживания и содержания МКД
 по адресу :г. Пермь, ул. Космонавта Беляева 40В,  на 2026г.</t>
  </si>
  <si>
    <t>Перечень работ и услуг технического обслуживания и содержания МКД
 по адресу :г. Пермь, ул. Космонавта Беляева 40Г,  на 2026г.</t>
  </si>
  <si>
    <t>Перечень работ и услуг технического обслуживания и содержания МКД
 по адресу :г. Пермь, ул. Космонавта Беляева 40Д,  на 2026г.</t>
  </si>
  <si>
    <t>Перенос работ на 2027г.</t>
  </si>
  <si>
    <t>25 эт</t>
  </si>
  <si>
    <t>Установка дефлекторов над вытяжными шахтами на кровле, в ценах 2025 года</t>
  </si>
  <si>
    <t>29,38</t>
  </si>
  <si>
    <r>
      <t xml:space="preserve">Кол-во </t>
    </r>
    <r>
      <rPr>
        <sz val="11"/>
        <color rgb="FFFF0000"/>
        <rFont val="Calibri"/>
        <family val="2"/>
        <charset val="204"/>
        <scheme val="minor"/>
      </rPr>
      <t>(кол-во месяцев)</t>
    </r>
  </si>
  <si>
    <t>Техническое обслуживание общедомовых конструктивных элементов</t>
  </si>
  <si>
    <t>8065,2</t>
  </si>
  <si>
    <t>Аварийное обслуживание</t>
  </si>
  <si>
    <t>Техническое обслуживание дымоходов и вентиляционных шахт</t>
  </si>
  <si>
    <t>Техническое обслуживание  лифтового хозяйства</t>
  </si>
  <si>
    <t>Техническое обслуживание систем дымоудаления, пож. водопровод  и автоматической пожарной сигнализации, СКУД(ворота)</t>
  </si>
  <si>
    <t>Уборка мест общего пользования</t>
  </si>
  <si>
    <t>Содержание придомовой территории</t>
  </si>
  <si>
    <t>Содержание мест накопления ТКО</t>
  </si>
  <si>
    <t>Дератизация, дезинсекция</t>
  </si>
  <si>
    <t xml:space="preserve">Сбор, передача в спец.организации и обезвреживание ртутьсодержащих ламп </t>
  </si>
  <si>
    <t>Обслуживание общедомовых приборов учета</t>
  </si>
  <si>
    <t>Расходы по управлению</t>
  </si>
  <si>
    <t>Текущий ремонт</t>
  </si>
  <si>
    <t>Перечень работ и услуг технического обслуживания и содержания МКД
 по адресу :г. Пермь, ул. Космонавта Беляева 61/В,  на 2026г.</t>
  </si>
  <si>
    <r>
      <t xml:space="preserve">Объем </t>
    </r>
    <r>
      <rPr>
        <sz val="11"/>
        <color rgb="FFFF0000"/>
        <rFont val="Calibri"/>
        <family val="2"/>
        <charset val="204"/>
        <scheme val="minor"/>
      </rPr>
      <t>(площадь жилых и нежилых помещений)</t>
    </r>
  </si>
  <si>
    <t>сверить актуальные площади помещений на итогам 6 мес 26г</t>
  </si>
  <si>
    <t>Затраты  на  управление многоквартирного  дома, по адресу: г. Пермь, шоссе Космонавтов,104 на 2026г.</t>
  </si>
  <si>
    <t>Утверждено:  Директор ООО "УК "А-Элита"</t>
  </si>
  <si>
    <t>Утверждено:  Директор ООО "УК "А-Элита"         
_____________ Желтовских А.В.</t>
  </si>
  <si>
    <t>Тариф 2024г</t>
  </si>
  <si>
    <t>Тариф до 01.04. 2026г.</t>
  </si>
  <si>
    <t>процент изменения</t>
  </si>
  <si>
    <t>Объем (площадь жилых и нежилых помещений)</t>
  </si>
  <si>
    <t>Стоимость в месяц, руб. 2024г</t>
  </si>
  <si>
    <t>Стоимость в месяц, 2026г руб.</t>
  </si>
  <si>
    <t>Итого-стоимость, руб. 2026г</t>
  </si>
  <si>
    <t>Цена от 2019г., руб.</t>
  </si>
  <si>
    <t>Содержание конструктивных элементов зданий, обслуживание внутридомового инженерного оборудования (в том числе аварийное обслуживание)</t>
  </si>
  <si>
    <t>Санитарное обслуживание домовладений - уборка придомовой территории, уход за зелеными насаждениями</t>
  </si>
  <si>
    <t>Дератизация и дезинсекция по уничтожению грызунов и насекомых</t>
  </si>
  <si>
    <t>Обслуживание дымоходов и вентиляционных шахт</t>
  </si>
  <si>
    <t>Содержания систем дымоудаления и систем автоматической пожарной сигнализации, в нерабочем состоянии</t>
  </si>
  <si>
    <t>Обслуживание систем ДУ и ПТ, в нерабочем состоянии</t>
  </si>
  <si>
    <t>Обслуживание мусоропровода</t>
  </si>
  <si>
    <t xml:space="preserve">Содержание лифтового хозяйства </t>
  </si>
  <si>
    <t>УК взлет</t>
  </si>
  <si>
    <t>Обслуживание общедомовых приборов учета системы отопления</t>
  </si>
  <si>
    <t>Обслуживание общедомовых приборов учета системы горячего водоснабжения</t>
  </si>
  <si>
    <t>Обслуживание общедомовых приборов учета системы холодного водоснабжения</t>
  </si>
  <si>
    <t>Итого содержание</t>
  </si>
  <si>
    <t>консьержи</t>
  </si>
  <si>
    <t>председатель</t>
  </si>
  <si>
    <t>Тариф на 2026 г.</t>
  </si>
  <si>
    <t>Содержание площадки сбора КГМ</t>
  </si>
  <si>
    <t>Дополнительные услуги консьерж и управляющий,  в т.ч налог 5%</t>
  </si>
  <si>
    <t xml:space="preserve">План  на  текущий ремонт многоквартирного  дома, по адресу:г. Пермь, шоссе Космонавтов,104 на 2026год          </t>
  </si>
  <si>
    <t>Запланированные работы по текущему ремонту:</t>
  </si>
  <si>
    <t>2024 год</t>
  </si>
  <si>
    <t>Факт 2020</t>
  </si>
  <si>
    <t>Остаток по статье текущий ремонт за 2025г</t>
  </si>
  <si>
    <t>Подготовка к отопительному сезону</t>
  </si>
  <si>
    <t>1 комплекс.</t>
  </si>
  <si>
    <t>1комп.</t>
  </si>
  <si>
    <t>1 шт.</t>
  </si>
  <si>
    <t>23шт.</t>
  </si>
  <si>
    <t>Обустройство дренажа в повале МКД</t>
  </si>
  <si>
    <t>Восстановление освещения и установка силовых розеток на тех.этаже.</t>
  </si>
  <si>
    <t>1 линия</t>
  </si>
  <si>
    <t>Чистка проезжей части от снега</t>
  </si>
  <si>
    <t>4 раза</t>
  </si>
  <si>
    <t>Благоустройство детской площадки</t>
  </si>
  <si>
    <t>Планировка и отсыпка щебнем парковочных мест</t>
  </si>
  <si>
    <t>1 комлект</t>
  </si>
  <si>
    <t>1 комплект</t>
  </si>
  <si>
    <t>2019 план</t>
  </si>
  <si>
    <t>2019 факт</t>
  </si>
  <si>
    <t>остаток на 2020</t>
  </si>
  <si>
    <t>ИП Кайзер</t>
  </si>
  <si>
    <t>претендент</t>
  </si>
  <si>
    <t>замена деревянных дверей на металлопласт на пожарной лестнице  в доме по адресу: г. Пермь ул. Шоссе космонавтов 104 , 9шт.</t>
  </si>
  <si>
    <t>замена деревянных дверей  на металлопласт на пожарной лестнице  в доме по адресу: г. Пермь ул. Шоссе космонавтов 104 , 9шт.</t>
  </si>
  <si>
    <t xml:space="preserve">замена деревянных окон на металлопласт на пожарной лестнице  в доме по адресу: г. Пермь ул. Шоссе космонавтов 104 </t>
  </si>
  <si>
    <t>дополнения , отливы</t>
  </si>
  <si>
    <t>5шт</t>
  </si>
  <si>
    <t>сумма</t>
  </si>
  <si>
    <t>замене охранной комнаты (стенки) на металлопласт на первом этаже  в доме по адресу: г. Пермь ул. Шоссе космонавтов 104</t>
  </si>
  <si>
    <t>Восстановление вытяжки канализационных стояков</t>
  </si>
  <si>
    <t>м2</t>
  </si>
  <si>
    <t>Сумма текущего ремонта , план 2026</t>
  </si>
  <si>
    <t>Финансовый результат</t>
  </si>
  <si>
    <t>Перенос работ на 2027г</t>
  </si>
  <si>
    <t>1 комплекс</t>
  </si>
  <si>
    <t>На кровле восстановить пояс кирпичной кладки вдоль примыкания. Восстановить примыкание вдоль парапетов, вент. шахт и помещения машинного отделения. Оштукатуривание вент. шахт. Частично восстановить капельник (крышки парапетов из листового железа)</t>
  </si>
  <si>
    <t>Перерезка стояков отопления  МОП с узла в магистрали дома с заменой в подвале МКД</t>
  </si>
  <si>
    <t>Восстановление дренажа + обустройство лотка ливневой на газоне</t>
  </si>
  <si>
    <t>Установка воздухоотводчиков на стояках системы отопления на тех.этаже</t>
  </si>
  <si>
    <t>Монтаж ограждения территории со стороны улицы Кронштадтская</t>
  </si>
  <si>
    <t>Установка автоматики открывания ворот и кнопки вызова.</t>
  </si>
  <si>
    <t>Ремонт лифтовых холлов с 1 по 25 этажи, материалы в ценах 2025 года.(установка светильников(2-24эт.), покраска двери узлов учета на этажах и противопожарных дверей  первого этажа)</t>
  </si>
  <si>
    <t>Перепрограммирование работы лифтов</t>
  </si>
  <si>
    <t xml:space="preserve">План поступления на 2026год </t>
  </si>
  <si>
    <t xml:space="preserve">План поступления за 2026год </t>
  </si>
  <si>
    <t>План поступления на 2026год</t>
  </si>
  <si>
    <t xml:space="preserve">Герметизация углового нащельника на 26 этаже одного угла </t>
  </si>
  <si>
    <t>Подготовка к отопительному сезону 2026-2027гг., промывка системы отопления, с материалами</t>
  </si>
  <si>
    <t>Поступления от использования  общего имущества МКД, за 2026год, план</t>
  </si>
  <si>
    <t>План  на  текущий ремонт многоквартирного  дома, по адресу: г. Пермь, ул. Мира 122/2 
на период на 2026г.</t>
  </si>
  <si>
    <t>Факт з 9 мес. 2021г.</t>
  </si>
  <si>
    <t>Прим.</t>
  </si>
  <si>
    <t>проверить оплату аренды</t>
  </si>
  <si>
    <t>Опрессовка с промывкой отопительной системы</t>
  </si>
  <si>
    <t>Замена стояков системы отопления с подвала до второго этажа (6 стояков)</t>
  </si>
  <si>
    <t>Ремонт примыкания на кровле 32 п/м</t>
  </si>
  <si>
    <t>Монтаж дренажа грунтовых вод в подвале.</t>
  </si>
  <si>
    <t>1 дренаж</t>
  </si>
  <si>
    <t>2 дренажа</t>
  </si>
  <si>
    <t>Проектирование ПОЖ</t>
  </si>
  <si>
    <t>Остаток статьи текущий ремонт за  2025г</t>
  </si>
  <si>
    <t>Доходы от использования ОИ МКД на 26г. , план</t>
  </si>
  <si>
    <t xml:space="preserve">Затраты  на  управление многоквартирного  дома, по адресу: г. Пермь, ул. Мира 122/2 
</t>
  </si>
  <si>
    <t xml:space="preserve">Стоимость услуг, входящих в состав размера платы  по содержанию жилых помещений 6-11 этажных домов с благоустройством, оборудованные мусоропроводом и (или) лифтом, и (или) системами пожаротушения и дымоудаления </t>
  </si>
  <si>
    <t>Цена на 2026г.</t>
  </si>
  <si>
    <t>Стоимость в месяц, руб.</t>
  </si>
  <si>
    <t>1. Плата за текущий ремонт общего имущества многоквартирного дома</t>
  </si>
  <si>
    <t>текущий  ремонт</t>
  </si>
  <si>
    <t xml:space="preserve"> - Услуги по управлению</t>
  </si>
  <si>
    <t xml:space="preserve">2. Плата за содержание общего имущества многоквартирного дома </t>
  </si>
  <si>
    <t xml:space="preserve"> - Содержание конструктивных элементов зданий, обслуживание внутридомового инженерного оборудования (в том числе аварийное обслуживание)</t>
  </si>
  <si>
    <t xml:space="preserve"> - Содержание иного общего имущества:</t>
  </si>
  <si>
    <t xml:space="preserve"> - Санитарное обслуживание домовладений - уборка придомовой территории, уход за зелеными насаждениями</t>
  </si>
  <si>
    <t xml:space="preserve"> - Уборка мест общего пользования</t>
  </si>
  <si>
    <t xml:space="preserve"> - Дератизация и дезинсекция по уничтожению грызунов и насекомых</t>
  </si>
  <si>
    <t xml:space="preserve"> - Обслуживание дымоходов и вентиляционных шахт</t>
  </si>
  <si>
    <t xml:space="preserve"> - Обслуживание мусоропроводов</t>
  </si>
  <si>
    <t xml:space="preserve"> - Обслуживание лифтового хозяйства</t>
  </si>
  <si>
    <t xml:space="preserve"> - Содержание мест накопления ТКО</t>
  </si>
  <si>
    <t xml:space="preserve"> - Обслуживание общедомовых приборов учета системы отопления</t>
  </si>
  <si>
    <t xml:space="preserve"> - Обслуживание общедомовых приборов учета системы горячего водоснабжения</t>
  </si>
  <si>
    <t xml:space="preserve"> - Обслуживание общедомовых приборов учета системы холодного водоснабжения</t>
  </si>
  <si>
    <t xml:space="preserve">3. Плата за услуги, работы по управлению многоквартирным домом </t>
  </si>
  <si>
    <t>С централизованным холодным водоснабжением, централизованным горячим водоснабжением, централизованным отоплением, канализацией, газоснабжением</t>
  </si>
  <si>
    <t>Остаток статьи текущий ремонт за 2026г</t>
  </si>
  <si>
    <t>План на  текущий ремонт МКД по адресу :г. Пермь, ул. Космонавта Беляева, 61/В,  на  2026г.</t>
  </si>
  <si>
    <t>Монтаж М/п конструкций на вхходной группе здания(дополнительный тамбур)</t>
  </si>
  <si>
    <t>Монтаж М/п конструкций на переходной лоджии.</t>
  </si>
  <si>
    <t>2констр.</t>
  </si>
  <si>
    <t>Наростить дождеприемные лотки на входной группе</t>
  </si>
  <si>
    <t>1 лоток</t>
  </si>
  <si>
    <t>2лотка</t>
  </si>
  <si>
    <t>Востановление электрооборудования в электрощитовой (слаботочные системы)</t>
  </si>
  <si>
    <t>1 щитовая</t>
  </si>
  <si>
    <t>1щитовая</t>
  </si>
  <si>
    <t xml:space="preserve">Отсыпка черноземом газононов </t>
  </si>
  <si>
    <t>террит.</t>
  </si>
  <si>
    <t>Разметка парковочных мест</t>
  </si>
  <si>
    <t xml:space="preserve">парковка </t>
  </si>
  <si>
    <t>парковка</t>
  </si>
  <si>
    <t>ИТОГО:</t>
  </si>
  <si>
    <t xml:space="preserve"> </t>
  </si>
  <si>
    <t>Поступления от использования  общего имущества МКД, на  2026год, план</t>
  </si>
  <si>
    <t>План поступления на 2026 год , план</t>
  </si>
  <si>
    <t>Объем (площадь жилых  помещений/ кол-во квартир)</t>
  </si>
  <si>
    <t>Кол-во в мес</t>
  </si>
  <si>
    <t>2024</t>
  </si>
  <si>
    <t>2025г.</t>
  </si>
  <si>
    <t>2026г.</t>
  </si>
  <si>
    <t xml:space="preserve">Текущий ремонт  </t>
  </si>
  <si>
    <t>ИТОГО</t>
  </si>
  <si>
    <t>Налоги</t>
  </si>
  <si>
    <t>Итого с налогами</t>
  </si>
  <si>
    <t>Услуги консьержа, с налогами</t>
  </si>
  <si>
    <t>510</t>
  </si>
  <si>
    <t>28,99</t>
  </si>
  <si>
    <t>30,52</t>
  </si>
  <si>
    <t>=C20+1,5</t>
  </si>
  <si>
    <t>ИТОГО СОДЕРЖАНИЕ И ТЕКУЩИЙ РЕМОНТ</t>
  </si>
  <si>
    <t>бюджет текущий ремонт</t>
  </si>
  <si>
    <t>пред</t>
  </si>
  <si>
    <t>2,1</t>
  </si>
  <si>
    <t>Техническое обслуживание общедомовых сетей инженерных систем и оборудования</t>
  </si>
  <si>
    <t>Модернизация преобразователей частоты (ПЧ) для насосов Grundfos системы  ХВС, в ценах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</si>
</sst>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  <numFmt numFmtId="166" formatCode="_-* #,##0.0\ _₽_-;\-* #,##0.0\ _₽_-;_-* &quot;-&quot;?\ _₽_-;_-@_-"/>
    <numFmt numFmtId="167" formatCode="#,##0.00\ _₽"/>
  </numFmts>
  <fonts count="53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rgb="FF000000"/>
      <name val="Courier New"/>
      <family val="3"/>
      <charset val="204"/>
    </font>
    <font>
      <sz val="9"/>
      <color theme="1"/>
      <name val="Times New Roman"/>
      <family val="1"/>
      <charset val="204"/>
    </font>
    <font>
      <sz val="12"/>
      <color rgb="FF0061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Calibri"/>
      <family val="2"/>
      <scheme val="minor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i/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 applyNumberFormat="0"/>
  </cellStyleXfs>
  <cellXfs count="612">
    <xf numFmtId="0" fontId="0" fillId="0" borderId="0" xfId="0"/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5" borderId="0" xfId="3" applyFont="1" applyFill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Border="1"/>
    <xf numFmtId="0" fontId="7" fillId="5" borderId="0" xfId="0" applyFont="1" applyFill="1" applyAlignment="1">
      <alignment vertical="top" wrapText="1"/>
    </xf>
    <xf numFmtId="2" fontId="7" fillId="5" borderId="0" xfId="0" applyNumberFormat="1" applyFont="1" applyFill="1" applyAlignment="1">
      <alignment vertical="top" wrapText="1"/>
    </xf>
    <xf numFmtId="43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" fontId="5" fillId="0" borderId="1" xfId="0" applyNumberFormat="1" applyFont="1" applyBorder="1"/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5" fillId="0" borderId="1" xfId="0" applyFont="1" applyBorder="1"/>
    <xf numFmtId="17" fontId="5" fillId="4" borderId="1" xfId="3" applyNumberFormat="1" applyFont="1" applyFill="1" applyBorder="1" applyAlignment="1">
      <alignment horizontal="center" vertical="center"/>
    </xf>
    <xf numFmtId="1" fontId="5" fillId="0" borderId="0" xfId="0" applyNumberFormat="1" applyFont="1"/>
    <xf numFmtId="0" fontId="5" fillId="0" borderId="0" xfId="0" applyFont="1" applyAlignment="1">
      <alignment horizontal="center"/>
    </xf>
    <xf numFmtId="43" fontId="5" fillId="0" borderId="0" xfId="0" applyNumberFormat="1" applyFont="1"/>
    <xf numFmtId="164" fontId="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" fontId="5" fillId="5" borderId="1" xfId="0" applyNumberFormat="1" applyFont="1" applyFill="1" applyBorder="1"/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/>
    </xf>
    <xf numFmtId="1" fontId="5" fillId="5" borderId="1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7" fontId="5" fillId="5" borderId="1" xfId="3" applyNumberFormat="1" applyFont="1" applyFill="1" applyBorder="1" applyAlignment="1">
      <alignment horizontal="center" vertical="center"/>
    </xf>
    <xf numFmtId="1" fontId="5" fillId="6" borderId="1" xfId="0" applyNumberFormat="1" applyFont="1" applyFill="1" applyBorder="1"/>
    <xf numFmtId="0" fontId="5" fillId="6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5" borderId="1" xfId="0" applyFont="1" applyFill="1" applyBorder="1"/>
    <xf numFmtId="0" fontId="5" fillId="7" borderId="1" xfId="0" applyFont="1" applyFill="1" applyBorder="1"/>
    <xf numFmtId="1" fontId="5" fillId="7" borderId="1" xfId="0" applyNumberFormat="1" applyFont="1" applyFill="1" applyBorder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5" fillId="5" borderId="0" xfId="0" applyNumberFormat="1" applyFont="1" applyFill="1" applyBorder="1" applyAlignment="1">
      <alignment horizontal="center"/>
    </xf>
    <xf numFmtId="0" fontId="14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/>
    <xf numFmtId="1" fontId="6" fillId="7" borderId="1" xfId="0" applyNumberFormat="1" applyFont="1" applyFill="1" applyBorder="1"/>
    <xf numFmtId="0" fontId="6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wrapText="1"/>
    </xf>
    <xf numFmtId="0" fontId="6" fillId="5" borderId="1" xfId="0" applyFont="1" applyFill="1" applyBorder="1"/>
    <xf numFmtId="1" fontId="6" fillId="0" borderId="0" xfId="0" applyNumberFormat="1" applyFont="1" applyAlignment="1">
      <alignment horizontal="center"/>
    </xf>
    <xf numFmtId="0" fontId="6" fillId="5" borderId="1" xfId="0" applyFont="1" applyFill="1" applyBorder="1" applyAlignment="1">
      <alignment horizontal="center"/>
    </xf>
    <xf numFmtId="2" fontId="5" fillId="0" borderId="0" xfId="0" applyNumberFormat="1" applyFont="1"/>
    <xf numFmtId="1" fontId="6" fillId="5" borderId="1" xfId="0" applyNumberFormat="1" applyFont="1" applyFill="1" applyBorder="1"/>
    <xf numFmtId="1" fontId="5" fillId="5" borderId="0" xfId="0" applyNumberFormat="1" applyFont="1" applyFill="1" applyBorder="1"/>
    <xf numFmtId="1" fontId="5" fillId="0" borderId="0" xfId="0" applyNumberFormat="1" applyFont="1" applyBorder="1" applyAlignment="1">
      <alignment horizontal="center"/>
    </xf>
    <xf numFmtId="0" fontId="5" fillId="5" borderId="0" xfId="0" applyFont="1" applyFill="1"/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center" vertical="center" wrapText="1"/>
    </xf>
    <xf numFmtId="0" fontId="5" fillId="5" borderId="0" xfId="0" applyFont="1" applyFill="1" applyBorder="1"/>
    <xf numFmtId="0" fontId="5" fillId="5" borderId="0" xfId="0" applyFont="1" applyFill="1" applyAlignment="1">
      <alignment horizontal="center"/>
    </xf>
    <xf numFmtId="0" fontId="5" fillId="5" borderId="1" xfId="0" applyFont="1" applyFill="1" applyBorder="1" applyAlignment="1">
      <alignment horizontal="left" vertical="center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wrapText="1"/>
    </xf>
    <xf numFmtId="164" fontId="5" fillId="5" borderId="1" xfId="0" applyNumberFormat="1" applyFont="1" applyFill="1" applyBorder="1" applyAlignment="1">
      <alignment horizontal="center"/>
    </xf>
    <xf numFmtId="0" fontId="6" fillId="5" borderId="0" xfId="0" applyFont="1" applyFill="1"/>
    <xf numFmtId="0" fontId="14" fillId="5" borderId="1" xfId="0" applyFont="1" applyFill="1" applyBorder="1" applyAlignment="1">
      <alignment wrapText="1"/>
    </xf>
    <xf numFmtId="164" fontId="6" fillId="5" borderId="1" xfId="0" applyNumberFormat="1" applyFont="1" applyFill="1" applyBorder="1" applyAlignment="1">
      <alignment horizontal="center"/>
    </xf>
    <xf numFmtId="164" fontId="15" fillId="5" borderId="1" xfId="0" applyNumberFormat="1" applyFont="1" applyFill="1" applyBorder="1" applyAlignment="1">
      <alignment horizontal="center"/>
    </xf>
    <xf numFmtId="1" fontId="6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 wrapText="1" indent="1"/>
    </xf>
    <xf numFmtId="0" fontId="5" fillId="5" borderId="1" xfId="0" applyFont="1" applyFill="1" applyBorder="1" applyAlignment="1">
      <alignment horizontal="left" indent="1"/>
    </xf>
    <xf numFmtId="0" fontId="6" fillId="5" borderId="1" xfId="0" applyFont="1" applyFill="1" applyBorder="1" applyAlignment="1">
      <alignment wrapText="1"/>
    </xf>
    <xf numFmtId="1" fontId="6" fillId="5" borderId="0" xfId="0" applyNumberFormat="1" applyFont="1" applyFill="1" applyAlignment="1">
      <alignment horizontal="center"/>
    </xf>
    <xf numFmtId="1" fontId="5" fillId="5" borderId="1" xfId="0" applyNumberFormat="1" applyFont="1" applyFill="1" applyBorder="1" applyAlignment="1">
      <alignment horizontal="center" vertical="center"/>
    </xf>
    <xf numFmtId="43" fontId="5" fillId="5" borderId="0" xfId="0" applyNumberFormat="1" applyFont="1" applyFill="1"/>
    <xf numFmtId="0" fontId="6" fillId="5" borderId="0" xfId="0" applyFont="1" applyFill="1" applyBorder="1"/>
    <xf numFmtId="0" fontId="5" fillId="9" borderId="1" xfId="0" applyFont="1" applyFill="1" applyBorder="1"/>
    <xf numFmtId="1" fontId="5" fillId="9" borderId="1" xfId="0" applyNumberFormat="1" applyFont="1" applyFill="1" applyBorder="1"/>
    <xf numFmtId="1" fontId="6" fillId="9" borderId="1" xfId="0" applyNumberFormat="1" applyFont="1" applyFill="1" applyBorder="1"/>
    <xf numFmtId="4" fontId="5" fillId="0" borderId="0" xfId="0" applyNumberFormat="1" applyFont="1"/>
    <xf numFmtId="2" fontId="5" fillId="0" borderId="1" xfId="0" applyNumberFormat="1" applyFont="1" applyBorder="1" applyAlignment="1">
      <alignment horizontal="center" vertical="center" wrapText="1"/>
    </xf>
    <xf numFmtId="1" fontId="5" fillId="10" borderId="1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6" xfId="0" applyFont="1" applyBorder="1"/>
    <xf numFmtId="0" fontId="5" fillId="0" borderId="3" xfId="0" applyFont="1" applyBorder="1"/>
    <xf numFmtId="1" fontId="5" fillId="7" borderId="3" xfId="0" applyNumberFormat="1" applyFont="1" applyFill="1" applyBorder="1"/>
    <xf numFmtId="0" fontId="6" fillId="0" borderId="6" xfId="0" applyFont="1" applyBorder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5" borderId="0" xfId="0" applyFont="1" applyFill="1" applyBorder="1" applyAlignment="1">
      <alignment horizontal="center"/>
    </xf>
    <xf numFmtId="0" fontId="5" fillId="5" borderId="1" xfId="0" applyFont="1" applyFill="1" applyBorder="1" applyAlignment="1"/>
    <xf numFmtId="1" fontId="5" fillId="5" borderId="1" xfId="0" applyNumberFormat="1" applyFont="1" applyFill="1" applyBorder="1" applyAlignment="1"/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wrapText="1"/>
    </xf>
    <xf numFmtId="2" fontId="5" fillId="5" borderId="1" xfId="0" applyNumberFormat="1" applyFont="1" applyFill="1" applyBorder="1"/>
    <xf numFmtId="4" fontId="5" fillId="5" borderId="1" xfId="0" applyNumberFormat="1" applyFont="1" applyFill="1" applyBorder="1"/>
    <xf numFmtId="2" fontId="5" fillId="5" borderId="1" xfId="0" applyNumberFormat="1" applyFont="1" applyFill="1" applyBorder="1" applyAlignment="1"/>
    <xf numFmtId="4" fontId="5" fillId="5" borderId="1" xfId="0" applyNumberFormat="1" applyFont="1" applyFill="1" applyBorder="1" applyAlignment="1"/>
    <xf numFmtId="1" fontId="5" fillId="5" borderId="0" xfId="0" applyNumberFormat="1" applyFont="1" applyFill="1" applyAlignment="1"/>
    <xf numFmtId="2" fontId="6" fillId="5" borderId="1" xfId="0" applyNumberFormat="1" applyFont="1" applyFill="1" applyBorder="1" applyAlignment="1"/>
    <xf numFmtId="4" fontId="5" fillId="5" borderId="1" xfId="0" applyNumberFormat="1" applyFont="1" applyFill="1" applyBorder="1" applyAlignment="1">
      <alignment wrapText="1"/>
    </xf>
    <xf numFmtId="1" fontId="6" fillId="5" borderId="1" xfId="0" applyNumberFormat="1" applyFont="1" applyFill="1" applyBorder="1" applyAlignment="1">
      <alignment wrapText="1"/>
    </xf>
    <xf numFmtId="1" fontId="5" fillId="5" borderId="1" xfId="0" applyNumberFormat="1" applyFont="1" applyFill="1" applyBorder="1" applyAlignment="1">
      <alignment wrapText="1"/>
    </xf>
    <xf numFmtId="1" fontId="5" fillId="0" borderId="1" xfId="0" applyNumberFormat="1" applyFont="1" applyBorder="1" applyAlignment="1">
      <alignment horizontal="center" vertical="center"/>
    </xf>
    <xf numFmtId="1" fontId="6" fillId="5" borderId="0" xfId="0" applyNumberFormat="1" applyFont="1" applyFill="1" applyAlignment="1">
      <alignment horizontal="center" wrapText="1"/>
    </xf>
    <xf numFmtId="1" fontId="5" fillId="5" borderId="3" xfId="0" applyNumberFormat="1" applyFont="1" applyFill="1" applyBorder="1"/>
    <xf numFmtId="0" fontId="5" fillId="5" borderId="3" xfId="0" applyFont="1" applyFill="1" applyBorder="1"/>
    <xf numFmtId="0" fontId="5" fillId="5" borderId="8" xfId="0" applyFont="1" applyFill="1" applyBorder="1"/>
    <xf numFmtId="0" fontId="5" fillId="5" borderId="0" xfId="0" applyFont="1" applyFill="1" applyBorder="1" applyAlignment="1">
      <alignment horizontal="center"/>
    </xf>
    <xf numFmtId="1" fontId="6" fillId="5" borderId="1" xfId="0" applyNumberFormat="1" applyFont="1" applyFill="1" applyBorder="1" applyAlignment="1">
      <alignment horizontal="center" wrapText="1"/>
    </xf>
    <xf numFmtId="1" fontId="5" fillId="5" borderId="1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1" fontId="5" fillId="7" borderId="0" xfId="0" applyNumberFormat="1" applyFont="1" applyFill="1" applyBorder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7" fillId="11" borderId="9" xfId="0" applyFont="1" applyFill="1" applyBorder="1" applyAlignment="1">
      <alignment vertical="center" wrapText="1"/>
    </xf>
    <xf numFmtId="0" fontId="17" fillId="11" borderId="10" xfId="0" applyFont="1" applyFill="1" applyBorder="1" applyAlignment="1">
      <alignment vertical="center" wrapText="1"/>
    </xf>
    <xf numFmtId="4" fontId="17" fillId="11" borderId="10" xfId="0" applyNumberFormat="1" applyFont="1" applyFill="1" applyBorder="1" applyAlignment="1">
      <alignment vertical="center" wrapText="1"/>
    </xf>
    <xf numFmtId="43" fontId="5" fillId="0" borderId="0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12" borderId="1" xfId="0" applyFont="1" applyFill="1" applyBorder="1"/>
    <xf numFmtId="1" fontId="5" fillId="12" borderId="1" xfId="0" applyNumberFormat="1" applyFont="1" applyFill="1" applyBorder="1"/>
    <xf numFmtId="2" fontId="6" fillId="0" borderId="1" xfId="0" applyNumberFormat="1" applyFont="1" applyBorder="1"/>
    <xf numFmtId="1" fontId="5" fillId="0" borderId="0" xfId="0" applyNumberFormat="1" applyFont="1" applyBorder="1"/>
    <xf numFmtId="2" fontId="6" fillId="0" borderId="0" xfId="0" applyNumberFormat="1" applyFont="1" applyBorder="1"/>
    <xf numFmtId="0" fontId="5" fillId="0" borderId="0" xfId="0" applyFont="1" applyFill="1" applyBorder="1"/>
    <xf numFmtId="1" fontId="5" fillId="0" borderId="0" xfId="0" applyNumberFormat="1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1" fontId="5" fillId="0" borderId="7" xfId="0" applyNumberFormat="1" applyFont="1" applyBorder="1" applyAlignment="1">
      <alignment horizontal="center"/>
    </xf>
    <xf numFmtId="1" fontId="6" fillId="0" borderId="7" xfId="0" applyNumberFormat="1" applyFont="1" applyBorder="1"/>
    <xf numFmtId="0" fontId="6" fillId="0" borderId="0" xfId="0" applyFont="1" applyBorder="1"/>
    <xf numFmtId="0" fontId="5" fillId="0" borderId="7" xfId="0" applyFont="1" applyBorder="1" applyAlignment="1">
      <alignment horizontal="center" vertical="center" wrapText="1"/>
    </xf>
    <xf numFmtId="1" fontId="5" fillId="0" borderId="7" xfId="0" applyNumberFormat="1" applyFont="1" applyBorder="1"/>
    <xf numFmtId="0" fontId="5" fillId="0" borderId="7" xfId="0" applyFont="1" applyBorder="1"/>
    <xf numFmtId="0" fontId="5" fillId="0" borderId="0" xfId="0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19" fillId="2" borderId="1" xfId="1" applyFont="1" applyBorder="1" applyAlignment="1">
      <alignment horizontal="center" vertical="center" wrapText="1"/>
    </xf>
    <xf numFmtId="49" fontId="7" fillId="3" borderId="1" xfId="2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5" borderId="0" xfId="3" applyFont="1" applyFill="1" applyBorder="1"/>
    <xf numFmtId="0" fontId="7" fillId="0" borderId="0" xfId="0" applyFont="1" applyBorder="1"/>
    <xf numFmtId="43" fontId="7" fillId="0" borderId="0" xfId="0" applyNumberFormat="1" applyFont="1"/>
    <xf numFmtId="2" fontId="7" fillId="0" borderId="0" xfId="0" applyNumberFormat="1" applyFont="1"/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3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wrapText="1"/>
    </xf>
    <xf numFmtId="2" fontId="7" fillId="0" borderId="1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wrapText="1"/>
    </xf>
    <xf numFmtId="0" fontId="24" fillId="0" borderId="1" xfId="0" applyFont="1" applyBorder="1" applyAlignment="1">
      <alignment horizontal="center" vertical="center"/>
    </xf>
    <xf numFmtId="0" fontId="22" fillId="8" borderId="7" xfId="0" applyFont="1" applyFill="1" applyBorder="1" applyAlignment="1">
      <alignment wrapText="1"/>
    </xf>
    <xf numFmtId="0" fontId="22" fillId="8" borderId="1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 wrapText="1"/>
    </xf>
    <xf numFmtId="43" fontId="12" fillId="8" borderId="1" xfId="0" applyNumberFormat="1" applyFont="1" applyFill="1" applyBorder="1" applyAlignment="1">
      <alignment horizontal="center" vertical="center"/>
    </xf>
    <xf numFmtId="0" fontId="12" fillId="8" borderId="1" xfId="0" applyNumberFormat="1" applyFont="1" applyFill="1" applyBorder="1" applyAlignment="1">
      <alignment horizontal="center" vertical="center"/>
    </xf>
    <xf numFmtId="2" fontId="22" fillId="8" borderId="1" xfId="0" applyNumberFormat="1" applyFont="1" applyFill="1" applyBorder="1" applyAlignment="1">
      <alignment horizontal="center" vertical="center"/>
    </xf>
    <xf numFmtId="43" fontId="23" fillId="8" borderId="1" xfId="0" applyNumberFormat="1" applyFont="1" applyFill="1" applyBorder="1" applyAlignment="1">
      <alignment horizontal="center" vertical="center" wrapText="1"/>
    </xf>
    <xf numFmtId="43" fontId="9" fillId="5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7" fontId="5" fillId="0" borderId="1" xfId="3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/>
    <xf numFmtId="0" fontId="5" fillId="0" borderId="1" xfId="0" applyFont="1" applyFill="1" applyBorder="1"/>
    <xf numFmtId="0" fontId="6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" fontId="6" fillId="0" borderId="0" xfId="0" applyNumberFormat="1" applyFont="1" applyFill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1" fontId="5" fillId="0" borderId="0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12" borderId="1" xfId="0" applyFont="1" applyFill="1" applyBorder="1" applyAlignment="1">
      <alignment vertical="top" wrapText="1"/>
    </xf>
    <xf numFmtId="0" fontId="5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17" fontId="5" fillId="5" borderId="11" xfId="3" applyNumberFormat="1" applyFont="1" applyFill="1" applyBorder="1" applyAlignment="1">
      <alignment horizontal="center" vertical="center"/>
    </xf>
    <xf numFmtId="2" fontId="5" fillId="5" borderId="11" xfId="0" applyNumberFormat="1" applyFont="1" applyFill="1" applyBorder="1" applyAlignment="1"/>
    <xf numFmtId="2" fontId="4" fillId="0" borderId="1" xfId="0" applyNumberFormat="1" applyFont="1" applyBorder="1" applyAlignment="1">
      <alignment horizontal="center"/>
    </xf>
    <xf numFmtId="0" fontId="0" fillId="0" borderId="1" xfId="0" applyBorder="1"/>
    <xf numFmtId="0" fontId="0" fillId="12" borderId="1" xfId="0" applyFill="1" applyBorder="1"/>
    <xf numFmtId="0" fontId="0" fillId="0" borderId="8" xfId="0" applyBorder="1"/>
    <xf numFmtId="0" fontId="25" fillId="12" borderId="1" xfId="0" applyFont="1" applyFill="1" applyBorder="1"/>
    <xf numFmtId="0" fontId="0" fillId="5" borderId="1" xfId="0" applyFill="1" applyBorder="1"/>
    <xf numFmtId="0" fontId="25" fillId="5" borderId="1" xfId="0" applyFont="1" applyFill="1" applyBorder="1"/>
    <xf numFmtId="0" fontId="8" fillId="12" borderId="1" xfId="0" applyFont="1" applyFill="1" applyBorder="1" applyAlignment="1">
      <alignment vertical="top" wrapText="1"/>
    </xf>
    <xf numFmtId="43" fontId="5" fillId="0" borderId="1" xfId="0" applyNumberFormat="1" applyFont="1" applyFill="1" applyBorder="1"/>
    <xf numFmtId="43" fontId="0" fillId="0" borderId="1" xfId="0" applyNumberFormat="1" applyBorder="1"/>
    <xf numFmtId="43" fontId="0" fillId="0" borderId="8" xfId="0" applyNumberFormat="1" applyBorder="1"/>
    <xf numFmtId="165" fontId="12" fillId="8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5" borderId="0" xfId="0" applyNumberFormat="1" applyFont="1" applyFill="1"/>
    <xf numFmtId="2" fontId="5" fillId="0" borderId="0" xfId="0" applyNumberFormat="1" applyFont="1" applyBorder="1"/>
    <xf numFmtId="0" fontId="29" fillId="5" borderId="0" xfId="0" applyFont="1" applyFill="1" applyBorder="1" applyAlignment="1">
      <alignment horizontal="center" vertical="top"/>
    </xf>
    <xf numFmtId="2" fontId="7" fillId="1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3" borderId="1" xfId="2" applyNumberFormat="1" applyFont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0" fontId="0" fillId="0" borderId="0" xfId="0" applyBorder="1"/>
    <xf numFmtId="0" fontId="3" fillId="5" borderId="0" xfId="3" applyFill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49" fontId="0" fillId="0" borderId="0" xfId="0" applyNumberFormat="1" applyBorder="1"/>
    <xf numFmtId="0" fontId="28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left" vertical="center" wrapText="1"/>
    </xf>
    <xf numFmtId="49" fontId="0" fillId="5" borderId="0" xfId="0" applyNumberFormat="1" applyFill="1" applyAlignment="1">
      <alignment horizontal="left" vertical="top"/>
    </xf>
    <xf numFmtId="0" fontId="0" fillId="5" borderId="0" xfId="0" applyFill="1" applyAlignment="1"/>
    <xf numFmtId="0" fontId="3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164" fontId="32" fillId="5" borderId="1" xfId="0" applyNumberFormat="1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right" vertical="center" wrapText="1"/>
    </xf>
    <xf numFmtId="166" fontId="32" fillId="5" borderId="22" xfId="0" applyNumberFormat="1" applyFont="1" applyFill="1" applyBorder="1" applyAlignment="1">
      <alignment horizontal="right" vertical="center" wrapText="1"/>
    </xf>
    <xf numFmtId="0" fontId="33" fillId="5" borderId="8" xfId="0" applyNumberFormat="1" applyFont="1" applyFill="1" applyBorder="1" applyAlignment="1">
      <alignment horizontal="center" vertical="center"/>
    </xf>
    <xf numFmtId="166" fontId="16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10" fontId="0" fillId="5" borderId="0" xfId="0" applyNumberFormat="1" applyFill="1"/>
    <xf numFmtId="0" fontId="27" fillId="5" borderId="0" xfId="0" applyFont="1" applyFill="1"/>
    <xf numFmtId="166" fontId="32" fillId="5" borderId="1" xfId="0" applyNumberFormat="1" applyFont="1" applyFill="1" applyBorder="1" applyAlignment="1">
      <alignment horizontal="right" vertical="center" wrapText="1"/>
    </xf>
    <xf numFmtId="2" fontId="32" fillId="5" borderId="1" xfId="0" applyNumberFormat="1" applyFont="1" applyFill="1" applyBorder="1" applyAlignment="1">
      <alignment horizontal="center" vertical="center" wrapText="1"/>
    </xf>
    <xf numFmtId="164" fontId="35" fillId="5" borderId="1" xfId="0" applyNumberFormat="1" applyFont="1" applyFill="1" applyBorder="1" applyAlignment="1">
      <alignment horizontal="center" vertical="center" wrapText="1"/>
    </xf>
    <xf numFmtId="166" fontId="35" fillId="5" borderId="1" xfId="0" applyNumberFormat="1" applyFont="1" applyFill="1" applyBorder="1" applyAlignment="1">
      <alignment horizontal="right" vertical="center" wrapText="1"/>
    </xf>
    <xf numFmtId="0" fontId="36" fillId="5" borderId="8" xfId="0" applyNumberFormat="1" applyFont="1" applyFill="1" applyBorder="1" applyAlignment="1">
      <alignment horizontal="center" vertical="center"/>
    </xf>
    <xf numFmtId="166" fontId="37" fillId="5" borderId="1" xfId="0" applyNumberFormat="1" applyFont="1" applyFill="1" applyBorder="1" applyAlignment="1">
      <alignment horizontal="center" vertical="center" wrapText="1"/>
    </xf>
    <xf numFmtId="0" fontId="34" fillId="5" borderId="0" xfId="0" applyFont="1" applyFill="1"/>
    <xf numFmtId="49" fontId="0" fillId="5" borderId="0" xfId="0" applyNumberFormat="1" applyFill="1"/>
    <xf numFmtId="0" fontId="0" fillId="5" borderId="0" xfId="0" applyNumberFormat="1" applyFill="1"/>
    <xf numFmtId="0" fontId="33" fillId="5" borderId="0" xfId="0" applyFont="1" applyFill="1" applyAlignment="1">
      <alignment horizontal="center"/>
    </xf>
    <xf numFmtId="49" fontId="33" fillId="5" borderId="14" xfId="2" applyNumberFormat="1" applyFont="1" applyFill="1" applyBorder="1" applyAlignment="1">
      <alignment horizontal="center" vertical="center" wrapText="1"/>
    </xf>
    <xf numFmtId="49" fontId="33" fillId="5" borderId="1" xfId="2" applyNumberFormat="1" applyFont="1" applyFill="1" applyBorder="1" applyAlignment="1">
      <alignment horizontal="center" vertical="center" wrapText="1"/>
    </xf>
    <xf numFmtId="49" fontId="33" fillId="5" borderId="7" xfId="2" applyNumberFormat="1" applyFont="1" applyFill="1" applyBorder="1" applyAlignment="1">
      <alignment horizontal="center" vertical="center" wrapText="1"/>
    </xf>
    <xf numFmtId="0" fontId="39" fillId="5" borderId="7" xfId="0" applyFont="1" applyFill="1" applyBorder="1" applyAlignment="1">
      <alignment horizontal="center" vertical="center"/>
    </xf>
    <xf numFmtId="0" fontId="33" fillId="5" borderId="17" xfId="0" applyFont="1" applyFill="1" applyBorder="1" applyAlignment="1">
      <alignment wrapText="1"/>
    </xf>
    <xf numFmtId="0" fontId="40" fillId="5" borderId="7" xfId="0" applyFont="1" applyFill="1" applyBorder="1" applyAlignment="1">
      <alignment horizontal="center" vertical="center"/>
    </xf>
    <xf numFmtId="0" fontId="37" fillId="5" borderId="7" xfId="0" applyFont="1" applyFill="1" applyBorder="1" applyAlignment="1">
      <alignment horizontal="center" vertical="center"/>
    </xf>
    <xf numFmtId="0" fontId="41" fillId="5" borderId="17" xfId="0" applyFont="1" applyFill="1" applyBorder="1" applyAlignment="1">
      <alignment wrapText="1"/>
    </xf>
    <xf numFmtId="0" fontId="0" fillId="5" borderId="1" xfId="0" applyNumberFormat="1" applyFill="1" applyBorder="1" applyAlignment="1"/>
    <xf numFmtId="0" fontId="0" fillId="5" borderId="1" xfId="0" applyNumberFormat="1" applyFill="1" applyBorder="1" applyAlignment="1">
      <alignment wrapText="1"/>
    </xf>
    <xf numFmtId="164" fontId="27" fillId="0" borderId="1" xfId="3" applyNumberFormat="1" applyFont="1" applyFill="1" applyBorder="1" applyAlignment="1">
      <alignment horizontal="center" vertical="center"/>
    </xf>
    <xf numFmtId="0" fontId="3" fillId="5" borderId="1" xfId="3" applyNumberFormat="1" applyFill="1" applyBorder="1"/>
    <xf numFmtId="0" fontId="0" fillId="5" borderId="1" xfId="0" applyNumberFormat="1" applyFill="1" applyBorder="1"/>
    <xf numFmtId="0" fontId="0" fillId="5" borderId="1" xfId="0" applyNumberFormat="1" applyFill="1" applyBorder="1" applyAlignment="1">
      <alignment vertical="top" wrapText="1"/>
    </xf>
    <xf numFmtId="0" fontId="0" fillId="5" borderId="7" xfId="0" applyNumberFormat="1" applyFill="1" applyBorder="1" applyAlignment="1">
      <alignment vertical="top" wrapText="1"/>
    </xf>
    <xf numFmtId="49" fontId="0" fillId="5" borderId="1" xfId="0" applyNumberFormat="1" applyFill="1" applyBorder="1" applyAlignment="1">
      <alignment wrapText="1"/>
    </xf>
    <xf numFmtId="164" fontId="3" fillId="5" borderId="1" xfId="3" applyNumberFormat="1" applyFill="1" applyBorder="1" applyAlignment="1">
      <alignment horizontal="center" vertical="center"/>
    </xf>
    <xf numFmtId="0" fontId="3" fillId="0" borderId="1" xfId="3" applyNumberFormat="1" applyFill="1" applyBorder="1"/>
    <xf numFmtId="0" fontId="0" fillId="0" borderId="1" xfId="0" applyNumberFormat="1" applyFill="1" applyBorder="1"/>
    <xf numFmtId="164" fontId="3" fillId="5" borderId="8" xfId="3" applyNumberFormat="1" applyFill="1" applyBorder="1" applyAlignment="1">
      <alignment horizontal="center" vertical="center"/>
    </xf>
    <xf numFmtId="0" fontId="3" fillId="12" borderId="1" xfId="3" applyNumberFormat="1" applyFill="1" applyBorder="1"/>
    <xf numFmtId="0" fontId="0" fillId="5" borderId="8" xfId="0" applyNumberFormat="1" applyFill="1" applyBorder="1" applyAlignment="1"/>
    <xf numFmtId="0" fontId="3" fillId="12" borderId="1" xfId="3" applyNumberFormat="1" applyFont="1" applyFill="1" applyBorder="1"/>
    <xf numFmtId="0" fontId="0" fillId="0" borderId="1" xfId="0" applyNumberFormat="1" applyFill="1" applyBorder="1" applyAlignment="1">
      <alignment vertical="top" wrapText="1"/>
    </xf>
    <xf numFmtId="0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5" borderId="1" xfId="0" applyNumberFormat="1" applyFill="1" applyBorder="1" applyAlignment="1">
      <alignment horizontal="center" vertical="center"/>
    </xf>
    <xf numFmtId="0" fontId="0" fillId="12" borderId="1" xfId="0" applyNumberFormat="1" applyFill="1" applyBorder="1"/>
    <xf numFmtId="164" fontId="0" fillId="5" borderId="1" xfId="0" applyNumberFormat="1" applyFill="1" applyBorder="1" applyAlignment="1">
      <alignment horizontal="center" vertical="center"/>
    </xf>
    <xf numFmtId="4" fontId="0" fillId="0" borderId="1" xfId="0" applyNumberFormat="1" applyFill="1" applyBorder="1"/>
    <xf numFmtId="164" fontId="0" fillId="5" borderId="1" xfId="0" applyNumberFormat="1" applyFill="1" applyBorder="1"/>
    <xf numFmtId="164" fontId="0" fillId="0" borderId="1" xfId="0" applyNumberFormat="1" applyFill="1" applyBorder="1"/>
    <xf numFmtId="0" fontId="0" fillId="5" borderId="0" xfId="0" applyNumberFormat="1" applyFill="1" applyBorder="1" applyAlignment="1"/>
    <xf numFmtId="0" fontId="0" fillId="5" borderId="0" xfId="0" applyNumberFormat="1" applyFill="1" applyBorder="1"/>
    <xf numFmtId="164" fontId="0" fillId="5" borderId="0" xfId="0" applyNumberFormat="1" applyFill="1" applyBorder="1"/>
    <xf numFmtId="0" fontId="0" fillId="0" borderId="0" xfId="0" applyNumberFormat="1" applyFill="1" applyBorder="1"/>
    <xf numFmtId="0" fontId="0" fillId="0" borderId="0" xfId="0" applyNumberFormat="1" applyFill="1"/>
    <xf numFmtId="164" fontId="0" fillId="5" borderId="0" xfId="0" applyNumberFormat="1" applyFill="1"/>
    <xf numFmtId="0" fontId="0" fillId="5" borderId="0" xfId="0" applyNumberFormat="1" applyFill="1" applyBorder="1" applyAlignment="1">
      <alignment vertical="top" wrapText="1"/>
    </xf>
    <xf numFmtId="0" fontId="4" fillId="5" borderId="1" xfId="0" applyNumberFormat="1" applyFont="1" applyFill="1" applyBorder="1" applyAlignment="1">
      <alignment horizontal="center"/>
    </xf>
    <xf numFmtId="0" fontId="0" fillId="5" borderId="8" xfId="0" applyNumberFormat="1" applyFill="1" applyBorder="1"/>
    <xf numFmtId="4" fontId="0" fillId="5" borderId="1" xfId="0" applyNumberFormat="1" applyFill="1" applyBorder="1" applyAlignment="1">
      <alignment wrapText="1"/>
    </xf>
    <xf numFmtId="2" fontId="0" fillId="5" borderId="1" xfId="0" applyNumberFormat="1" applyFill="1" applyBorder="1" applyAlignment="1">
      <alignment wrapText="1"/>
    </xf>
    <xf numFmtId="14" fontId="3" fillId="5" borderId="1" xfId="3" applyNumberForma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/>
    </xf>
    <xf numFmtId="17" fontId="5" fillId="4" borderId="1" xfId="3" applyNumberFormat="1" applyFont="1" applyFill="1" applyBorder="1" applyAlignment="1">
      <alignment horizontal="center" vertical="center" textRotation="90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/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43" fontId="5" fillId="5" borderId="1" xfId="0" applyNumberFormat="1" applyFont="1" applyFill="1" applyBorder="1" applyAlignment="1">
      <alignment vertical="center" wrapText="1"/>
    </xf>
    <xf numFmtId="43" fontId="5" fillId="0" borderId="1" xfId="0" applyNumberFormat="1" applyFont="1" applyBorder="1" applyAlignment="1">
      <alignment vertical="center" wrapText="1"/>
    </xf>
    <xf numFmtId="43" fontId="5" fillId="0" borderId="1" xfId="0" applyNumberFormat="1" applyFont="1" applyFill="1" applyBorder="1" applyAlignment="1"/>
    <xf numFmtId="43" fontId="0" fillId="0" borderId="1" xfId="0" applyNumberFormat="1" applyBorder="1" applyAlignment="1"/>
    <xf numFmtId="43" fontId="0" fillId="0" borderId="8" xfId="0" applyNumberFormat="1" applyBorder="1" applyAlignment="1"/>
    <xf numFmtId="43" fontId="5" fillId="0" borderId="1" xfId="0" applyNumberFormat="1" applyFont="1" applyBorder="1" applyAlignment="1"/>
    <xf numFmtId="167" fontId="5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5" borderId="0" xfId="0" applyNumberFormat="1" applyFill="1" applyAlignment="1">
      <alignment horizontal="left" vertical="top"/>
    </xf>
    <xf numFmtId="0" fontId="0" fillId="0" borderId="0" xfId="0" applyNumberFormat="1"/>
    <xf numFmtId="0" fontId="0" fillId="0" borderId="1" xfId="0" applyNumberFormat="1" applyBorder="1" applyAlignment="1"/>
    <xf numFmtId="0" fontId="0" fillId="0" borderId="1" xfId="0" applyNumberFormat="1" applyFill="1" applyBorder="1" applyAlignment="1"/>
    <xf numFmtId="2" fontId="0" fillId="0" borderId="1" xfId="0" applyNumberFormat="1" applyFill="1" applyBorder="1" applyAlignment="1"/>
    <xf numFmtId="2" fontId="0" fillId="0" borderId="1" xfId="0" applyNumberFormat="1" applyFill="1" applyBorder="1" applyAlignment="1">
      <alignment wrapText="1"/>
    </xf>
    <xf numFmtId="2" fontId="3" fillId="0" borderId="1" xfId="3" applyNumberFormat="1" applyFill="1" applyBorder="1" applyAlignment="1">
      <alignment horizontal="center" vertical="center"/>
    </xf>
    <xf numFmtId="0" fontId="3" fillId="0" borderId="1" xfId="3" applyNumberFormat="1" applyFill="1" applyBorder="1" applyAlignment="1"/>
    <xf numFmtId="2" fontId="0" fillId="0" borderId="0" xfId="0" applyNumberFormat="1"/>
    <xf numFmtId="0" fontId="0" fillId="0" borderId="11" xfId="0" applyNumberFormat="1" applyBorder="1" applyAlignment="1"/>
    <xf numFmtId="0" fontId="0" fillId="0" borderId="1" xfId="0" applyNumberFormat="1" applyFill="1" applyBorder="1" applyAlignment="1">
      <alignment vertical="center" wrapText="1"/>
    </xf>
    <xf numFmtId="0" fontId="0" fillId="5" borderId="0" xfId="0" applyNumberFormat="1" applyFill="1" applyBorder="1" applyAlignment="1">
      <alignment vertical="center" wrapText="1"/>
    </xf>
    <xf numFmtId="0" fontId="0" fillId="5" borderId="1" xfId="0" applyNumberFormat="1" applyFill="1" applyBorder="1" applyAlignment="1">
      <alignment vertical="center" wrapText="1"/>
    </xf>
    <xf numFmtId="0" fontId="0" fillId="0" borderId="7" xfId="0" applyNumberFormat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42" fillId="12" borderId="1" xfId="0" applyNumberFormat="1" applyFont="1" applyFill="1" applyBorder="1" applyAlignment="1"/>
    <xf numFmtId="0" fontId="0" fillId="12" borderId="1" xfId="0" applyNumberFormat="1" applyFill="1" applyBorder="1" applyAlignment="1"/>
    <xf numFmtId="2" fontId="0" fillId="0" borderId="1" xfId="0" applyNumberFormat="1" applyBorder="1" applyAlignment="1"/>
    <xf numFmtId="0" fontId="0" fillId="0" borderId="1" xfId="0" applyNumberFormat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center"/>
    </xf>
    <xf numFmtId="0" fontId="0" fillId="12" borderId="0" xfId="0" applyNumberFormat="1" applyFill="1" applyBorder="1" applyAlignment="1"/>
    <xf numFmtId="2" fontId="0" fillId="0" borderId="1" xfId="0" applyNumberForma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0" fillId="0" borderId="8" xfId="0" applyNumberFormat="1" applyBorder="1"/>
    <xf numFmtId="0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0" fontId="29" fillId="5" borderId="0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1" fillId="5" borderId="1" xfId="1" applyFill="1" applyBorder="1" applyAlignment="1">
      <alignment horizontal="center" vertical="center" wrapText="1"/>
    </xf>
    <xf numFmtId="49" fontId="0" fillId="5" borderId="1" xfId="2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vertical="center" wrapText="1"/>
    </xf>
    <xf numFmtId="0" fontId="45" fillId="5" borderId="1" xfId="0" applyFont="1" applyFill="1" applyBorder="1" applyAlignment="1">
      <alignment horizontal="center" vertical="center"/>
    </xf>
    <xf numFmtId="2" fontId="45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6" fillId="5" borderId="1" xfId="0" applyNumberFormat="1" applyFont="1" applyFill="1" applyBorder="1" applyAlignment="1">
      <alignment horizontal="center" vertical="center"/>
    </xf>
    <xf numFmtId="49" fontId="46" fillId="5" borderId="1" xfId="0" applyNumberFormat="1" applyFont="1" applyFill="1" applyBorder="1" applyAlignment="1">
      <alignment horizontal="center" vertical="center"/>
    </xf>
    <xf numFmtId="0" fontId="0" fillId="5" borderId="0" xfId="0" applyFill="1" applyBorder="1"/>
    <xf numFmtId="0" fontId="47" fillId="5" borderId="1" xfId="0" applyFont="1" applyFill="1" applyBorder="1" applyAlignment="1">
      <alignment vertical="center" wrapText="1"/>
    </xf>
    <xf numFmtId="0" fontId="47" fillId="5" borderId="1" xfId="0" applyFont="1" applyFill="1" applyBorder="1" applyAlignment="1">
      <alignment horizontal="center" vertical="center"/>
    </xf>
    <xf numFmtId="2" fontId="47" fillId="5" borderId="1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49" fontId="48" fillId="5" borderId="1" xfId="0" applyNumberFormat="1" applyFont="1" applyFill="1" applyBorder="1" applyAlignment="1">
      <alignment horizontal="center" vertical="center"/>
    </xf>
    <xf numFmtId="0" fontId="27" fillId="5" borderId="0" xfId="0" applyFont="1" applyFill="1" applyBorder="1"/>
    <xf numFmtId="0" fontId="49" fillId="5" borderId="1" xfId="0" applyFont="1" applyFill="1" applyBorder="1" applyAlignment="1">
      <alignment vertical="center" wrapText="1"/>
    </xf>
    <xf numFmtId="2" fontId="50" fillId="0" borderId="1" xfId="3" applyNumberFormat="1" applyFont="1" applyFill="1" applyBorder="1" applyAlignment="1">
      <alignment vertical="center"/>
    </xf>
    <xf numFmtId="2" fontId="51" fillId="0" borderId="1" xfId="3" applyNumberFormat="1" applyFont="1" applyFill="1" applyBorder="1" applyAlignment="1">
      <alignment vertical="center"/>
    </xf>
    <xf numFmtId="0" fontId="27" fillId="0" borderId="1" xfId="0" applyNumberFormat="1" applyFont="1" applyBorder="1" applyAlignment="1">
      <alignment vertical="top" wrapText="1"/>
    </xf>
    <xf numFmtId="0" fontId="0" fillId="0" borderId="0" xfId="0" applyAlignment="1"/>
    <xf numFmtId="0" fontId="5" fillId="0" borderId="0" xfId="0" applyFont="1" applyAlignment="1"/>
    <xf numFmtId="0" fontId="0" fillId="0" borderId="1" xfId="0" applyFont="1" applyBorder="1"/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2" fontId="3" fillId="0" borderId="1" xfId="3" applyNumberFormat="1" applyBorder="1" applyAlignment="1">
      <alignment horizontal="center" vertical="center"/>
    </xf>
    <xf numFmtId="2" fontId="0" fillId="0" borderId="8" xfId="0" applyNumberFormat="1" applyBorder="1"/>
    <xf numFmtId="17" fontId="18" fillId="4" borderId="1" xfId="3" applyNumberFormat="1" applyFont="1" applyFill="1" applyBorder="1" applyAlignment="1">
      <alignment horizontal="center" vertical="center" textRotation="90"/>
    </xf>
    <xf numFmtId="0" fontId="4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164" fontId="0" fillId="13" borderId="1" xfId="0" applyNumberFormat="1" applyFill="1" applyBorder="1" applyAlignment="1">
      <alignment horizontal="right"/>
    </xf>
    <xf numFmtId="164" fontId="0" fillId="13" borderId="8" xfId="0" applyNumberFormat="1" applyFill="1" applyBorder="1" applyAlignment="1">
      <alignment horizontal="right"/>
    </xf>
    <xf numFmtId="164" fontId="3" fillId="13" borderId="1" xfId="3" applyNumberFormat="1" applyFill="1" applyBorder="1" applyAlignment="1">
      <alignment horizontal="right" vertical="center"/>
    </xf>
    <xf numFmtId="4" fontId="0" fillId="0" borderId="8" xfId="0" applyNumberFormat="1" applyBorder="1"/>
    <xf numFmtId="2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Protection="1">
      <protection locked="0"/>
    </xf>
    <xf numFmtId="1" fontId="0" fillId="0" borderId="1" xfId="0" applyNumberFormat="1" applyBorder="1" applyAlignment="1">
      <alignment horizontal="center"/>
    </xf>
    <xf numFmtId="0" fontId="27" fillId="0" borderId="1" xfId="0" applyFont="1" applyBorder="1"/>
    <xf numFmtId="2" fontId="27" fillId="0" borderId="1" xfId="0" applyNumberFormat="1" applyFont="1" applyBorder="1"/>
    <xf numFmtId="49" fontId="27" fillId="0" borderId="1" xfId="0" applyNumberFormat="1" applyFont="1" applyBorder="1" applyAlignment="1">
      <alignment horizontal="center"/>
    </xf>
    <xf numFmtId="2" fontId="27" fillId="0" borderId="1" xfId="0" applyNumberFormat="1" applyFont="1" applyBorder="1" applyAlignment="1">
      <alignment horizontal="center"/>
    </xf>
    <xf numFmtId="1" fontId="27" fillId="0" borderId="1" xfId="0" applyNumberFormat="1" applyFont="1" applyBorder="1" applyAlignment="1">
      <alignment horizontal="center"/>
    </xf>
    <xf numFmtId="49" fontId="27" fillId="0" borderId="1" xfId="0" applyNumberFormat="1" applyFont="1" applyBorder="1"/>
    <xf numFmtId="2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" fontId="5" fillId="5" borderId="1" xfId="3" applyNumberFormat="1" applyFont="1" applyFill="1" applyBorder="1" applyAlignment="1">
      <alignment horizontal="center" vertical="center" textRotation="90"/>
    </xf>
    <xf numFmtId="2" fontId="5" fillId="0" borderId="7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2" fontId="5" fillId="5" borderId="1" xfId="0" applyNumberFormat="1" applyFont="1" applyFill="1" applyBorder="1" applyAlignment="1">
      <alignment horizontal="right"/>
    </xf>
    <xf numFmtId="2" fontId="0" fillId="0" borderId="8" xfId="0" applyNumberFormat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7" fontId="7" fillId="0" borderId="1" xfId="0" applyNumberFormat="1" applyFont="1" applyFill="1" applyBorder="1" applyAlignment="1">
      <alignment horizontal="center" vertical="center" wrapText="1"/>
    </xf>
    <xf numFmtId="17" fontId="7" fillId="0" borderId="1" xfId="3" applyNumberFormat="1" applyFont="1" applyFill="1" applyBorder="1" applyAlignment="1">
      <alignment horizontal="center" vertical="center"/>
    </xf>
    <xf numFmtId="167" fontId="7" fillId="0" borderId="1" xfId="3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167" fontId="7" fillId="0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top" wrapText="1"/>
    </xf>
    <xf numFmtId="167" fontId="7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7" fontId="46" fillId="0" borderId="8" xfId="0" applyNumberFormat="1" applyFont="1" applyBorder="1" applyAlignment="1">
      <alignment horizontal="center"/>
    </xf>
    <xf numFmtId="0" fontId="46" fillId="0" borderId="8" xfId="0" applyFont="1" applyBorder="1"/>
    <xf numFmtId="1" fontId="7" fillId="0" borderId="1" xfId="0" applyNumberFormat="1" applyFont="1" applyFill="1" applyBorder="1" applyAlignment="1">
      <alignment horizontal="center"/>
    </xf>
    <xf numFmtId="1" fontId="12" fillId="0" borderId="1" xfId="0" applyNumberFormat="1" applyFont="1" applyBorder="1" applyAlignment="1">
      <alignment vertical="top" wrapText="1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/>
    <xf numFmtId="167" fontId="12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7" fillId="5" borderId="7" xfId="0" applyFont="1" applyFill="1" applyBorder="1" applyAlignment="1">
      <alignment wrapText="1"/>
    </xf>
    <xf numFmtId="0" fontId="7" fillId="5" borderId="7" xfId="0" applyFont="1" applyFill="1" applyBorder="1" applyAlignment="1">
      <alignment vertical="top" wrapText="1"/>
    </xf>
    <xf numFmtId="0" fontId="7" fillId="0" borderId="7" xfId="0" applyFont="1" applyBorder="1" applyAlignment="1">
      <alignment wrapText="1"/>
    </xf>
    <xf numFmtId="0" fontId="7" fillId="12" borderId="7" xfId="0" applyFont="1" applyFill="1" applyBorder="1" applyAlignment="1">
      <alignment wrapText="1"/>
    </xf>
    <xf numFmtId="0" fontId="4" fillId="12" borderId="1" xfId="0" applyFont="1" applyFill="1" applyBorder="1" applyAlignment="1">
      <alignment horizontal="center"/>
    </xf>
    <xf numFmtId="43" fontId="0" fillId="12" borderId="8" xfId="0" applyNumberFormat="1" applyFill="1" applyBorder="1" applyAlignment="1"/>
    <xf numFmtId="2" fontId="0" fillId="5" borderId="0" xfId="0" applyNumberFormat="1" applyFill="1"/>
    <xf numFmtId="2" fontId="16" fillId="5" borderId="1" xfId="0" applyNumberFormat="1" applyFont="1" applyFill="1" applyBorder="1" applyAlignment="1">
      <alignment horizontal="center" vertical="center" wrapText="1"/>
    </xf>
    <xf numFmtId="2" fontId="16" fillId="5" borderId="0" xfId="0" applyNumberFormat="1" applyFont="1" applyFill="1" applyBorder="1" applyAlignment="1">
      <alignment horizontal="center" vertical="center" wrapText="1"/>
    </xf>
    <xf numFmtId="2" fontId="32" fillId="12" borderId="1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5" borderId="0" xfId="0" applyFont="1" applyFill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5" fillId="5" borderId="0" xfId="0" applyFont="1" applyFill="1" applyBorder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 applyBorder="1" applyAlignment="1"/>
    <xf numFmtId="0" fontId="6" fillId="0" borderId="0" xfId="0" applyFont="1" applyBorder="1" applyAlignment="1"/>
    <xf numFmtId="0" fontId="1" fillId="2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2" fillId="3" borderId="1" xfId="2" applyNumberFormat="1" applyFont="1" applyBorder="1" applyAlignment="1">
      <alignment horizontal="center" vertical="center" wrapText="1"/>
    </xf>
    <xf numFmtId="49" fontId="0" fillId="3" borderId="1" xfId="2" applyNumberFormat="1" applyFont="1" applyBorder="1" applyAlignment="1">
      <alignment horizontal="center" vertical="center" wrapText="1"/>
    </xf>
    <xf numFmtId="0" fontId="30" fillId="5" borderId="0" xfId="0" applyFont="1" applyFill="1" applyAlignment="1">
      <alignment horizontal="center" wrapText="1"/>
    </xf>
    <xf numFmtId="49" fontId="0" fillId="5" borderId="0" xfId="0" applyNumberFormat="1" applyFill="1" applyAlignment="1">
      <alignment horizontal="center" vertical="top" wrapText="1"/>
    </xf>
    <xf numFmtId="0" fontId="33" fillId="5" borderId="12" xfId="0" applyFont="1" applyFill="1" applyBorder="1" applyAlignment="1">
      <alignment horizontal="center" vertical="center" wrapText="1"/>
    </xf>
    <xf numFmtId="0" fontId="33" fillId="5" borderId="17" xfId="0" applyFont="1" applyFill="1" applyBorder="1" applyAlignment="1">
      <alignment horizontal="center" vertical="center" wrapText="1"/>
    </xf>
    <xf numFmtId="49" fontId="33" fillId="5" borderId="13" xfId="2" applyNumberFormat="1" applyFont="1" applyFill="1" applyBorder="1" applyAlignment="1">
      <alignment horizontal="center" vertical="center" wrapText="1"/>
    </xf>
    <xf numFmtId="49" fontId="33" fillId="5" borderId="11" xfId="2" applyNumberFormat="1" applyFont="1" applyFill="1" applyBorder="1" applyAlignment="1">
      <alignment horizontal="center" vertical="center" wrapText="1"/>
    </xf>
    <xf numFmtId="49" fontId="33" fillId="5" borderId="4" xfId="2" applyNumberFormat="1" applyFont="1" applyFill="1" applyBorder="1" applyAlignment="1">
      <alignment horizontal="center" vertical="center" wrapText="1"/>
    </xf>
    <xf numFmtId="49" fontId="38" fillId="5" borderId="13" xfId="2" applyNumberFormat="1" applyFont="1" applyFill="1" applyBorder="1" applyAlignment="1">
      <alignment horizontal="center" vertical="center" wrapText="1"/>
    </xf>
    <xf numFmtId="49" fontId="38" fillId="5" borderId="11" xfId="2" applyNumberFormat="1" applyFont="1" applyFill="1" applyBorder="1" applyAlignment="1">
      <alignment horizontal="center" vertical="center" wrapText="1"/>
    </xf>
    <xf numFmtId="49" fontId="38" fillId="5" borderId="4" xfId="2" applyNumberFormat="1" applyFont="1" applyFill="1" applyBorder="1" applyAlignment="1">
      <alignment horizontal="center" vertical="center" wrapText="1"/>
    </xf>
    <xf numFmtId="49" fontId="33" fillId="5" borderId="15" xfId="2" applyNumberFormat="1" applyFont="1" applyFill="1" applyBorder="1" applyAlignment="1">
      <alignment horizontal="center" vertical="center" wrapText="1"/>
    </xf>
    <xf numFmtId="49" fontId="33" fillId="5" borderId="18" xfId="2" applyNumberFormat="1" applyFont="1" applyFill="1" applyBorder="1" applyAlignment="1">
      <alignment horizontal="center" vertical="center" wrapText="1"/>
    </xf>
    <xf numFmtId="49" fontId="33" fillId="5" borderId="20" xfId="2" applyNumberFormat="1" applyFont="1" applyFill="1" applyBorder="1" applyAlignment="1">
      <alignment horizontal="center" vertical="center" wrapText="1"/>
    </xf>
    <xf numFmtId="49" fontId="0" fillId="5" borderId="16" xfId="2" applyNumberFormat="1" applyFont="1" applyFill="1" applyBorder="1" applyAlignment="1">
      <alignment horizontal="center" vertical="center" wrapText="1"/>
    </xf>
    <xf numFmtId="49" fontId="0" fillId="5" borderId="19" xfId="2" applyNumberFormat="1" applyFont="1" applyFill="1" applyBorder="1" applyAlignment="1">
      <alignment horizontal="center" vertical="center" wrapText="1"/>
    </xf>
    <xf numFmtId="49" fontId="0" fillId="5" borderId="21" xfId="2" applyNumberFormat="1" applyFont="1" applyFill="1" applyBorder="1" applyAlignment="1">
      <alignment horizontal="center" vertical="center" wrapText="1"/>
    </xf>
    <xf numFmtId="49" fontId="0" fillId="5" borderId="3" xfId="2" applyNumberFormat="1" applyFont="1" applyFill="1" applyBorder="1" applyAlignment="1">
      <alignment horizontal="center" vertical="center" wrapText="1"/>
    </xf>
    <xf numFmtId="49" fontId="0" fillId="5" borderId="11" xfId="2" applyNumberFormat="1" applyFont="1" applyFill="1" applyBorder="1" applyAlignment="1">
      <alignment horizontal="center" vertical="center" wrapText="1"/>
    </xf>
    <xf numFmtId="49" fontId="0" fillId="5" borderId="4" xfId="2" applyNumberFormat="1" applyFont="1" applyFill="1" applyBorder="1" applyAlignment="1">
      <alignment horizontal="center" vertical="center" wrapText="1"/>
    </xf>
    <xf numFmtId="0" fontId="29" fillId="5" borderId="0" xfId="0" applyFont="1" applyFill="1" applyBorder="1" applyAlignment="1">
      <alignment horizontal="center" vertical="top" wrapText="1"/>
    </xf>
    <xf numFmtId="0" fontId="27" fillId="5" borderId="0" xfId="0" applyFont="1" applyFill="1" applyBorder="1" applyAlignment="1"/>
    <xf numFmtId="0" fontId="9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6" fillId="5" borderId="0" xfId="0" applyFont="1" applyFill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left" wrapText="1"/>
    </xf>
    <xf numFmtId="1" fontId="5" fillId="0" borderId="4" xfId="0" applyNumberFormat="1" applyFont="1" applyBorder="1" applyAlignment="1">
      <alignment horizontal="left" wrapText="1"/>
    </xf>
    <xf numFmtId="1" fontId="5" fillId="6" borderId="11" xfId="0" applyNumberFormat="1" applyFont="1" applyFill="1" applyBorder="1" applyAlignment="1">
      <alignment horizontal="center"/>
    </xf>
    <xf numFmtId="1" fontId="5" fillId="6" borderId="4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5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/>
    </xf>
    <xf numFmtId="0" fontId="16" fillId="5" borderId="0" xfId="0" applyFont="1" applyFill="1" applyAlignment="1">
      <alignment horizontal="center" wrapText="1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 vertical="top" wrapText="1"/>
    </xf>
    <xf numFmtId="0" fontId="6" fillId="5" borderId="2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27" fillId="5" borderId="3" xfId="0" applyNumberFormat="1" applyFont="1" applyFill="1" applyBorder="1" applyAlignment="1">
      <alignment horizontal="center" vertical="center" wrapText="1"/>
    </xf>
    <xf numFmtId="0" fontId="27" fillId="5" borderId="4" xfId="0" applyNumberFormat="1" applyFont="1" applyFill="1" applyBorder="1" applyAlignment="1">
      <alignment horizontal="center" vertical="center" wrapText="1"/>
    </xf>
    <xf numFmtId="49" fontId="0" fillId="5" borderId="0" xfId="0" applyNumberFormat="1" applyFill="1" applyAlignment="1">
      <alignment horizontal="left" vertical="top" wrapText="1"/>
    </xf>
    <xf numFmtId="49" fontId="0" fillId="5" borderId="0" xfId="0" applyNumberFormat="1" applyFill="1" applyAlignment="1">
      <alignment horizontal="left" vertical="top"/>
    </xf>
    <xf numFmtId="0" fontId="0" fillId="5" borderId="1" xfId="0" applyNumberFormat="1" applyFill="1" applyBorder="1" applyAlignment="1">
      <alignment horizontal="left" vertical="top" wrapText="1"/>
    </xf>
    <xf numFmtId="0" fontId="29" fillId="5" borderId="2" xfId="0" applyFont="1" applyFill="1" applyBorder="1" applyAlignment="1">
      <alignment horizontal="center" vertical="center" wrapText="1"/>
    </xf>
    <xf numFmtId="0" fontId="27" fillId="5" borderId="1" xfId="0" applyNumberFormat="1" applyFont="1" applyFill="1" applyBorder="1" applyAlignment="1">
      <alignment horizontal="center" vertical="center"/>
    </xf>
    <xf numFmtId="0" fontId="0" fillId="5" borderId="3" xfId="0" applyNumberFormat="1" applyFill="1" applyBorder="1" applyAlignment="1">
      <alignment horizontal="center"/>
    </xf>
    <xf numFmtId="0" fontId="0" fillId="5" borderId="4" xfId="0" applyNumberFormat="1" applyFill="1" applyBorder="1" applyAlignment="1">
      <alignment horizontal="center"/>
    </xf>
    <xf numFmtId="0" fontId="0" fillId="5" borderId="2" xfId="0" applyNumberFormat="1" applyFill="1" applyBorder="1" applyAlignment="1">
      <alignment horizontal="center"/>
    </xf>
    <xf numFmtId="0" fontId="0" fillId="5" borderId="0" xfId="0" applyNumberFormat="1" applyFill="1" applyAlignment="1">
      <alignment horizontal="center"/>
    </xf>
    <xf numFmtId="0" fontId="0" fillId="5" borderId="0" xfId="0" applyNumberFormat="1" applyFill="1" applyAlignment="1">
      <alignment horizontal="left" vertical="top" wrapText="1"/>
    </xf>
    <xf numFmtId="0" fontId="43" fillId="5" borderId="1" xfId="0" applyNumberFormat="1" applyFont="1" applyFill="1" applyBorder="1" applyAlignment="1">
      <alignment horizontal="center" vertical="center" textRotation="90" wrapText="1"/>
    </xf>
    <xf numFmtId="0" fontId="44" fillId="5" borderId="1" xfId="0" applyNumberFormat="1" applyFont="1" applyFill="1" applyBorder="1" applyAlignment="1">
      <alignment vertical="center" textRotation="90" wrapText="1"/>
    </xf>
    <xf numFmtId="0" fontId="29" fillId="5" borderId="2" xfId="0" applyNumberFormat="1" applyFont="1" applyFill="1" applyBorder="1" applyAlignment="1">
      <alignment horizontal="center" vertical="center" wrapText="1"/>
    </xf>
    <xf numFmtId="0" fontId="27" fillId="0" borderId="3" xfId="0" applyNumberFormat="1" applyFont="1" applyBorder="1" applyAlignment="1">
      <alignment horizontal="center" vertical="center" wrapText="1"/>
    </xf>
    <xf numFmtId="0" fontId="0" fillId="0" borderId="11" xfId="0" applyNumberFormat="1" applyBorder="1" applyAlignment="1">
      <alignment vertical="center"/>
    </xf>
    <xf numFmtId="0" fontId="43" fillId="5" borderId="1" xfId="0" applyNumberFormat="1" applyFont="1" applyFill="1" applyBorder="1" applyAlignment="1">
      <alignment horizontal="center" vertical="center" wrapText="1"/>
    </xf>
    <xf numFmtId="0" fontId="44" fillId="5" borderId="1" xfId="0" applyNumberFormat="1" applyFont="1" applyFill="1" applyBorder="1" applyAlignment="1">
      <alignment vertical="center" wrapText="1"/>
    </xf>
    <xf numFmtId="2" fontId="27" fillId="5" borderId="1" xfId="0" applyNumberFormat="1" applyFont="1" applyFill="1" applyBorder="1" applyAlignment="1">
      <alignment horizontal="center" wrapText="1"/>
    </xf>
    <xf numFmtId="2" fontId="0" fillId="5" borderId="1" xfId="0" applyNumberFormat="1" applyFill="1" applyBorder="1" applyAlignment="1">
      <alignment wrapText="1"/>
    </xf>
    <xf numFmtId="0" fontId="27" fillId="5" borderId="1" xfId="0" applyNumberFormat="1" applyFont="1" applyFill="1" applyBorder="1" applyAlignment="1">
      <alignment horizontal="center" vertical="center" wrapText="1"/>
    </xf>
    <xf numFmtId="0" fontId="0" fillId="5" borderId="1" xfId="0" applyNumberFormat="1" applyFill="1" applyBorder="1" applyAlignment="1">
      <alignment vertical="center" wrapText="1"/>
    </xf>
    <xf numFmtId="0" fontId="6" fillId="0" borderId="0" xfId="0" applyFont="1" applyBorder="1" applyAlignment="1">
      <alignment horizontal="center"/>
    </xf>
    <xf numFmtId="0" fontId="27" fillId="0" borderId="3" xfId="0" applyFont="1" applyBorder="1" applyAlignment="1">
      <alignment horizontal="center" wrapText="1"/>
    </xf>
    <xf numFmtId="0" fontId="0" fillId="0" borderId="4" xfId="0" applyBorder="1" applyAlignment="1"/>
    <xf numFmtId="0" fontId="0" fillId="0" borderId="11" xfId="0" applyBorder="1" applyAlignment="1"/>
    <xf numFmtId="0" fontId="0" fillId="0" borderId="11" xfId="0" applyBorder="1" applyAlignment="1">
      <alignment wrapText="1"/>
    </xf>
    <xf numFmtId="0" fontId="0" fillId="0" borderId="4" xfId="0" applyBorder="1" applyAlignment="1">
      <alignment wrapText="1"/>
    </xf>
  </cellXfs>
  <cellStyles count="4">
    <cellStyle name="20% — акцент1" xfId="2" builtinId="30"/>
    <cellStyle name="ОбТекст" xfId="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5;&#1080;&#1089;%20&#1046;&#1050;&#1061;\&#1056;&#1072;&#1089;&#1095;&#1077;&#1090;%20&#1090;&#1072;&#1088;&#1080;&#1092;&#1072;%20&#1085;&#1072;%202018%20&#1075;&#1086;&#10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41;&#1052;&#1045;&#1053;\2%20&#1043;&#1086;&#1076;&#1086;&#1074;&#1099;&#1081;%20&#1086;&#1090;&#1095;&#1077;&#1090;&#1099;\&#1043;&#1086;&#1076;&#1086;&#1074;&#1086;&#1081;%20&#1086;&#1090;&#1095;&#1077;&#1090;%202025\&#1040;&#1082;&#1090;%20&#1087;&#1086;%20&#1090;&#1077;&#1082;&#1091;&#1097;&#1077;&#1084;&#1091;%20&#1088;&#1077;&#1084;&#1086;&#1085;&#1090;&#1091;%2025%20&#1075;&#1086;&#1076;%20&#1074;&#1089;&#1077;%20&#1076;&#1086;&#1084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41;&#1052;&#1045;&#1053;\2%20&#1043;&#1086;&#1076;&#1086;&#1074;&#1099;&#1081;%20&#1086;&#1090;&#1095;&#1077;&#1090;&#1099;\&#1043;&#1086;&#1076;&#1086;&#1074;&#1086;&#1081;%20&#1086;&#1090;&#1095;&#1077;&#1090;%202025\&#1054;&#1087;&#1083;&#1072;&#1090;&#1072;%20&#1089;&#1090;&#1086;&#1088;&#1086;&#1085;&#1085;&#1080;&#1093;%20&#1086;&#1088;&#1075;&#1072;&#1085;&#1080;&#1079;&#1072;&#1094;&#1080;&#1081;%20&#1089;%202019&#1092;&#1072;&#1082;&#1090;%2025&#1075;.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41;&#1052;&#1045;&#1053;\&#1043;&#1054;&#1044;&#1054;&#1042;&#1054;&#1049;%20&#1054;&#1058;&#1063;&#1045;&#1058;%202020\&#1087;&#1083;&#1072;&#1085;&#1099;%202020\&#1055;&#1083;&#1072;&#1085;%20&#1090;&#1077;&#1082;&#1091;&#1097;&#1077;&#1075;&#1086;%20&#1088;&#1077;&#1084;&#1086;&#1085;&#1090;&#1072;%20&#1059;&#1050;%20&#1040;&#1069;&#1083;&#1080;&#1090;&#1072;%20&#1085;&#1072;%202020%20&#1075;&#1086;&#1076;%20%20&#1086;&#1090;%2015.03.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41;&#1052;&#1045;&#1053;\&#1043;&#1054;&#1044;&#1054;&#1042;&#1054;&#1049;%20&#1054;&#1058;&#1063;&#1045;&#1058;%202020\&#1057;&#1055;&#1048;&#1057;&#1040;&#1053;&#1048;&#1071;%20%20&#1054;&#1087;&#1077;&#1088;&#1072;&#1094;&#1080;&#1080;%20&#1079;&#1072;%202020.01.01-2020.12.31%20&#1089;&#1095;&#1105;&#1090;%204070281014909001706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41;&#1052;&#1045;&#1053;\&#1043;&#1054;&#1044;&#1054;&#1042;&#1054;&#1049;%20&#1054;&#1058;&#1063;&#1045;&#1058;%202020\&#1087;&#1083;&#1072;&#1085;&#1099;%202020\&#1055;&#1083;&#1072;&#1085;%20&#1090;&#1077;&#1082;&#1091;&#1097;&#1077;&#1075;&#1086;%20&#1088;&#1077;&#1084;&#1086;&#1085;&#1090;&#1072;%20&#1059;&#1050;%20&#1040;&#1069;&#1083;&#1080;&#1090;&#1072;%20&#1085;&#1072;%202020%20&#1075;&#1086;&#1076;%20&#1084;&#1072;&#1089;&#1090;&#1077;&#1088;%20&#1092;&#1072;&#1081;&#108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41;&#1052;&#1045;&#1053;\2%20&#1043;&#1086;&#1076;&#1086;&#1074;&#1099;&#1081;%20&#1086;&#1090;&#1095;&#1077;&#1090;&#1099;\&#1043;&#1086;&#1076;&#1086;&#1074;&#1086;&#1081;%20&#1086;&#1090;&#1095;&#1077;&#1090;%202025\&#1040;&#1082;&#1090;%20&#1087;&#1086;%20&#1090;&#1077;&#1082;&#1091;&#1097;&#1077;&#1084;&#1091;%20&#1088;&#1077;&#1084;&#1086;&#1085;&#1090;&#1091;%2025%20&#1075;&#1086;&#1076;%20&#1074;&#1089;&#1077;%20&#1076;&#1086;&#1084;&#1072;%20&#1086;&#1090;%2013.03.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41;&#1052;&#1045;&#1053;\&#1043;&#1054;&#1044;&#1054;&#1042;&#1054;&#1049;%20&#1054;&#1058;&#1063;&#1045;&#1058;%202020\&#1087;&#1083;&#1072;&#1085;&#1099;%202020\&#1055;&#1083;&#1072;&#1085;%20&#1090;&#1077;&#1082;&#1091;&#1097;&#1077;&#1075;&#1086;%20&#1088;&#1077;&#1084;&#1086;&#1085;&#1090;&#1072;%20&#1059;&#1050;%20&#1040;&#1069;&#1083;&#1080;&#1090;&#1072;%20&#1085;&#1072;%202020%20&#1075;&#1086;&#1076;%20&#1050;.&#1041;.%2040&#1041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41;&#1052;&#1045;&#1053;\2%20&#1043;&#1086;&#1076;&#1086;&#1074;&#1099;&#1081;%20&#1086;&#1090;&#1095;&#1077;&#1090;&#1099;\&#1043;&#1086;&#1076;&#1086;&#1074;&#1086;&#1081;%20&#1086;&#1090;&#1095;&#1077;&#1090;%202026&#1075;\&#1058;&#1077;&#1082;&#1091;&#1097;&#1080;&#1081;%20&#1088;&#1077;&#1084;&#1086;&#1085;&#1090;%2026&#1075;\&#1050;&#1088;&#1072;&#1081;&#1085;&#1080;&#1081;%20&#1055;&#1083;&#1072;&#1085;%20&#1090;&#1077;&#1082;&#1091;&#1097;&#1077;&#1075;&#1086;%20&#1088;&#1077;&#1084;&#1086;&#1085;&#1090;&#1072;%20&#1052;&#1050;&#1044;%20&#1064;&#1050;104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смета за 2017"/>
      <sheetName val="2018 2"/>
      <sheetName val="тариф на 2018"/>
      <sheetName val="тариф  2018 для печати"/>
      <sheetName val="Тариф 2018 с учет 27,72 ОДН"/>
      <sheetName val="Для  печати на 2018 г"/>
      <sheetName val="корр факт 2017"/>
      <sheetName val="ДОХОДы от ОИ"/>
      <sheetName val="корр факт 2017 с ОДН"/>
      <sheetName val="Лист1"/>
      <sheetName val="Тариф 2018 с арендой видео"/>
      <sheetName val="Тариф 2018без аренды видео"/>
      <sheetName val="СМЕТА Диспетчеризация охрана"/>
      <sheetName val="Для Печати без видео от 01.11.1"/>
      <sheetName val="Для Печати 40Г от 01.11.1"/>
      <sheetName val="смета паркинга"/>
      <sheetName val="упр. расходы"/>
      <sheetName val="ОДН 2019"/>
      <sheetName val=" ОДН 2018"/>
      <sheetName val="ОДН 2017"/>
      <sheetName val="ОДН водоотведение"/>
      <sheetName val="рсо"/>
      <sheetName val="доходы"/>
    </sheetNames>
    <sheetDataSet>
      <sheetData sheetId="0"/>
      <sheetData sheetId="1"/>
      <sheetData sheetId="2"/>
      <sheetData sheetId="3"/>
      <sheetData sheetId="4">
        <row r="12">
          <cell r="H12">
            <v>13438.33</v>
          </cell>
        </row>
        <row r="13">
          <cell r="H13">
            <v>51435.43</v>
          </cell>
        </row>
      </sheetData>
      <sheetData sheetId="5"/>
      <sheetData sheetId="6"/>
      <sheetData sheetId="7">
        <row r="10">
          <cell r="H10">
            <v>12710.699999999999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К104"/>
      <sheetName val="Мира 122-2"/>
      <sheetName val="К. Беляева 61в"/>
      <sheetName val="К. Беляева 40Б"/>
      <sheetName val="К. Беляева 40В"/>
      <sheetName val="К. Беляева 40Г"/>
      <sheetName val="К. Беляева 40Д"/>
    </sheetNames>
    <sheetDataSet>
      <sheetData sheetId="0">
        <row r="87">
          <cell r="D87">
            <v>25522.97</v>
          </cell>
        </row>
      </sheetData>
      <sheetData sheetId="1"/>
      <sheetData sheetId="2"/>
      <sheetData sheetId="3">
        <row r="19">
          <cell r="D19">
            <v>1952695.87</v>
          </cell>
        </row>
        <row r="94">
          <cell r="D94">
            <v>-575939.92785127182</v>
          </cell>
        </row>
      </sheetData>
      <sheetData sheetId="4">
        <row r="84">
          <cell r="D84">
            <v>-155865.89978962811</v>
          </cell>
        </row>
      </sheetData>
      <sheetData sheetId="5">
        <row r="90">
          <cell r="D90">
            <v>219470.11148630176</v>
          </cell>
        </row>
      </sheetData>
      <sheetData sheetId="6">
        <row r="89">
          <cell r="D89">
            <v>-340639.72512035246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9"/>
      <sheetName val="2020"/>
      <sheetName val="2021"/>
      <sheetName val="2022"/>
      <sheetName val="2023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7">
          <cell r="G97">
            <v>89200</v>
          </cell>
          <cell r="I97">
            <v>113200</v>
          </cell>
          <cell r="K97">
            <v>90400</v>
          </cell>
          <cell r="M97">
            <v>89200</v>
          </cell>
          <cell r="O97">
            <v>36500</v>
          </cell>
          <cell r="Q97">
            <v>45300</v>
          </cell>
          <cell r="S97">
            <v>68200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КД К.Беляева 40 Б"/>
      <sheetName val="отчет МКД 40Б 6 мес 2020"/>
      <sheetName val="МКД К.Беляева 40В"/>
      <sheetName val="МКД К.Беляева 40 Г"/>
      <sheetName val="МКД К.Беляева 40 Д"/>
      <sheetName val="ТК МКД К.Беляева 40 Б"/>
      <sheetName val="ТК МКД К.Беляева 40 В"/>
      <sheetName val="ТК МКД К.Беляева 40 Г"/>
      <sheetName val="ТК МКД К.Беляева 40 Д"/>
      <sheetName val="текущий ремонт"/>
      <sheetName val="ОпцииПеречня"/>
      <sheetName val="con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E2">
            <v>10133.1</v>
          </cell>
        </row>
        <row r="3">
          <cell r="E3">
            <v>2875</v>
          </cell>
        </row>
        <row r="10">
          <cell r="E10">
            <v>8864.57</v>
          </cell>
          <cell r="F10">
            <v>8864.57</v>
          </cell>
        </row>
        <row r="14">
          <cell r="E14">
            <v>15147.88</v>
          </cell>
        </row>
        <row r="15">
          <cell r="E15">
            <v>16322.28</v>
          </cell>
        </row>
        <row r="16">
          <cell r="E16">
            <v>4607.5</v>
          </cell>
        </row>
        <row r="22">
          <cell r="E22">
            <v>1226.8800000000001</v>
          </cell>
        </row>
        <row r="23">
          <cell r="E23">
            <v>4326.3900000000003</v>
          </cell>
        </row>
        <row r="24">
          <cell r="E24">
            <v>2490</v>
          </cell>
        </row>
        <row r="27">
          <cell r="E27">
            <v>4500</v>
          </cell>
        </row>
        <row r="28">
          <cell r="E28">
            <v>5625</v>
          </cell>
        </row>
        <row r="29">
          <cell r="E29">
            <v>4500</v>
          </cell>
        </row>
        <row r="34">
          <cell r="E34">
            <v>12000</v>
          </cell>
        </row>
        <row r="35">
          <cell r="E35">
            <v>11125</v>
          </cell>
        </row>
        <row r="44">
          <cell r="E44">
            <v>599167.65</v>
          </cell>
        </row>
        <row r="47">
          <cell r="E47">
            <v>2353876.3199999998</v>
          </cell>
        </row>
      </sheetData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"/>
      <sheetName val="судебные расходы"/>
      <sheetName val="Погашение процентов"/>
      <sheetName val="Плата за активные расчеты"/>
      <sheetName val="Контур2"/>
      <sheetName val="Общий зарплата"/>
      <sheetName val="Общий комиссия"/>
      <sheetName val="Общий подоотчет"/>
      <sheetName val="Кадр-Информ"/>
      <sheetName val="Ресо-Гарантия"/>
      <sheetName val="Налоги при УСН"/>
      <sheetName val="Налоги ОМС"/>
      <sheetName val="Росгвардия"/>
      <sheetName val="Налоги несчаст. случаи"/>
      <sheetName val="Страховые взносы"/>
      <sheetName val="Налоги НДФЛ"/>
      <sheetName val="Ростелеком"/>
      <sheetName val="Теплоэнерго"/>
      <sheetName val="Энергосбытовая компания"/>
      <sheetName val="Вымпелком"/>
      <sheetName val="погашение кредита"/>
      <sheetName val="ПСБ"/>
      <sheetName val="Электрические технологии"/>
      <sheetName val="Эксперт-инжиниринг"/>
      <sheetName val="Формула Зеро"/>
      <sheetName val="Урал-Транс"/>
      <sheetName val="ТОЭС_сервис"/>
      <sheetName val="Торговая сеть Санмикс"/>
      <sheetName val="Тепло-Про"/>
      <sheetName val="Теплоимпорт-Кама"/>
      <sheetName val="ТЕЛЕГАРАНТ"/>
      <sheetName val="Электротехмонтаж"/>
      <sheetName val="Химальянс"/>
      <sheetName val="Фондорн"/>
      <sheetName val="СТИМ"/>
      <sheetName val="Регион 159"/>
      <sheetName val="РЕВИТЕХ"/>
      <sheetName val="ПЖКК"/>
      <sheetName val="Перм сетевая комп"/>
      <sheetName val="ПЕРМОКНАСЕРВИС"/>
      <sheetName val="Одиссей"/>
      <sheetName val="Ново-Лядовский источник"/>
      <sheetName val="НОВОГОР"/>
      <sheetName val="Маки-Сервис"/>
      <sheetName val="Лукойл-Топливо"/>
      <sheetName val="Лифт-Индустрия"/>
      <sheetName val="Леруа Марлен гирлянда"/>
      <sheetName val="Лазар59"/>
      <sheetName val="КОНСАЛТИНГ"/>
      <sheetName val="Комус-Кама"/>
      <sheetName val="КНК"/>
      <sheetName val="ИЗОЛЕР"/>
      <sheetName val="ЖКХ Сервис Пермь"/>
      <sheetName val="ДЭФО-Пермь"/>
      <sheetName val="ДЕЛЬТА-К"/>
      <sheetName val="Гелла"/>
      <sheetName val="Восход"/>
      <sheetName val="ВалеНа"/>
      <sheetName val="АСД Технологии"/>
      <sheetName val="мхс"/>
      <sheetName val="Фарренгейт"/>
      <sheetName val="госпошлина ФЛ"/>
      <sheetName val="ИП Шатунова"/>
      <sheetName val="ИП Чикунов"/>
      <sheetName val="ИП Сундрякова"/>
      <sheetName val="ИП Протасов"/>
      <sheetName val="ИП Морилова"/>
      <sheetName val="ИП Кайзер"/>
      <sheetName val="ИП Журавлева"/>
      <sheetName val="ИП Жукова"/>
      <sheetName val="ИП Гусев"/>
      <sheetName val="ИП Гульчак"/>
      <sheetName val="ИП Ванзин"/>
      <sheetName val="ИП Бояршинов"/>
      <sheetName val="ИП Пелевина"/>
      <sheetName val="ИП Ковин"/>
      <sheetName val="ИП Желтовских Павел"/>
      <sheetName val="ИП Кичигин"/>
      <sheetName val="ИП Ахмаров брелки"/>
      <sheetName val="Движение средств"/>
      <sheetName val="пошлина"/>
      <sheetName val="текущий ремонт"/>
      <sheetName val="комиссия банка"/>
      <sheetName val="пикельнер"/>
      <sheetName val="1"/>
      <sheetName val=" банк ж"/>
      <sheetName val="подотчет"/>
      <sheetName val="ФОТ "/>
      <sheetName val="дезифекция"/>
      <sheetName val="Лист6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>
        <row r="2">
          <cell r="F2">
            <v>40000</v>
          </cell>
        </row>
        <row r="15">
          <cell r="I15">
            <v>157060.5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КД К.Беляева 40 Б"/>
      <sheetName val="отчет МКД 40Б 6 мес 2020"/>
      <sheetName val="МКД К.Беляева 40В"/>
      <sheetName val="МКД К.Беляева 40 Г"/>
      <sheetName val="МКД К.Беляева 40 Д"/>
      <sheetName val="ТК МКД К.Беляева 40 Б"/>
      <sheetName val="ТК МКД К.Беляева 40 В"/>
      <sheetName val="ТК МКД К.Беляева 40 Г"/>
      <sheetName val="ТК МКД К.Беляева 40 Д"/>
      <sheetName val="ОпцииПеречня"/>
      <sheetName val="conf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C8" t="str">
            <v>замена лежанок горячего водоснабжения;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К104"/>
      <sheetName val="Мира 122-2"/>
      <sheetName val="К. Беляева 61в"/>
      <sheetName val="К. Беляева 40Б"/>
      <sheetName val="К. Беляева 40В"/>
      <sheetName val="К. Беляева 40Г"/>
      <sheetName val="К. Беляева 40Д"/>
    </sheetNames>
    <sheetDataSet>
      <sheetData sheetId="0">
        <row r="92">
          <cell r="D92">
            <v>223665.58866640623</v>
          </cell>
        </row>
      </sheetData>
      <sheetData sheetId="1">
        <row r="55">
          <cell r="D55">
            <v>-639544.52756666671</v>
          </cell>
        </row>
      </sheetData>
      <sheetData sheetId="2">
        <row r="71">
          <cell r="D71">
            <v>-2973705.0900273211</v>
          </cell>
        </row>
      </sheetData>
      <sheetData sheetId="3"/>
      <sheetData sheetId="4"/>
      <sheetData sheetId="5">
        <row r="92">
          <cell r="D92">
            <v>183670.11148630176</v>
          </cell>
        </row>
      </sheetData>
      <sheetData sheetId="6">
        <row r="91">
          <cell r="D91">
            <v>-374639.72512035246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КД К.Беляева 40 Б"/>
      <sheetName val="отчет МКД 40Б 6 мес 2020"/>
      <sheetName val="МКД К.Беляева 40В"/>
      <sheetName val="МКД К.Беляева 40 Г"/>
      <sheetName val="МКД К.Беляева 40 Д"/>
      <sheetName val="ТК МКД К.Беляева 40 Б"/>
      <sheetName val="ТК МКД К.Беляева 40 В"/>
      <sheetName val="ТК МКД К.Беляева 40 Г"/>
      <sheetName val="ТК МКД К.Беляева 40 Д"/>
      <sheetName val="текущий ремонт"/>
      <sheetName val="ОпцииПеречня"/>
      <sheetName val="conf"/>
    </sheetNames>
    <sheetDataSet>
      <sheetData sheetId="0"/>
      <sheetData sheetId="1"/>
      <sheetData sheetId="2"/>
      <sheetData sheetId="3">
        <row r="16">
          <cell r="E16">
            <v>472882.68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й рем. на 2023 (2)"/>
      <sheetName val="Перечень работ и услуг"/>
      <sheetName val="отчет 6 мес21"/>
      <sheetName val="отчет 1в"/>
      <sheetName val="Лист2"/>
      <sheetName val="Текущий ремонт"/>
      <sheetName val="текущий ремонт на 2021"/>
      <sheetName val="Текущий рем. на 2022"/>
      <sheetName val="текщий ремонт на 2025"/>
      <sheetName val="Лист3"/>
      <sheetName val="Лист1"/>
      <sheetName val="12мес20г."/>
      <sheetName val="бланк отчета 20"/>
      <sheetName val="6мес 20г"/>
      <sheetName val="факт ресурсы на СОИ"/>
      <sheetName val="ОпцииПеречня"/>
      <sheetName val="conf"/>
    </sheetNames>
    <sheetDataSet>
      <sheetData sheetId="0" refreshError="1"/>
      <sheetData sheetId="1">
        <row r="20">
          <cell r="G20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Q43"/>
  <sheetViews>
    <sheetView tabSelected="1" zoomScale="55" zoomScaleNormal="55" workbookViewId="0">
      <pane ySplit="2" topLeftCell="A3" activePane="bottomLeft" state="frozen"/>
      <selection activeCell="E19" sqref="E19"/>
      <selection pane="bottomLeft" activeCell="AX3" sqref="AX3"/>
    </sheetView>
  </sheetViews>
  <sheetFormatPr defaultColWidth="9.21875" defaultRowHeight="15.6" outlineLevelRow="1" x14ac:dyDescent="0.3"/>
  <cols>
    <col min="1" max="1" width="91.77734375" style="169" customWidth="1"/>
    <col min="2" max="2" width="15.21875" style="177" customWidth="1"/>
    <col min="3" max="3" width="16.77734375" style="178" customWidth="1"/>
    <col min="4" max="4" width="12" style="179" customWidth="1"/>
    <col min="5" max="5" width="19.21875" style="178" customWidth="1"/>
    <col min="6" max="6" width="15.44140625" style="169" hidden="1" customWidth="1"/>
    <col min="7" max="7" width="11.44140625" style="169" hidden="1" customWidth="1"/>
    <col min="8" max="9" width="0" style="169" hidden="1" customWidth="1"/>
    <col min="10" max="14" width="14.77734375" style="169" hidden="1" customWidth="1"/>
    <col min="15" max="17" width="0" style="169" hidden="1" customWidth="1"/>
    <col min="18" max="18" width="12.21875" style="169" hidden="1" customWidth="1"/>
    <col min="19" max="23" width="0" style="169" hidden="1" customWidth="1"/>
    <col min="24" max="24" width="32.21875" style="169" hidden="1" customWidth="1"/>
    <col min="25" max="31" width="0" style="169" hidden="1" customWidth="1"/>
    <col min="32" max="32" width="15.21875" style="169" hidden="1" customWidth="1"/>
    <col min="33" max="41" width="0" style="169" hidden="1" customWidth="1"/>
    <col min="42" max="42" width="9.21875" style="169"/>
    <col min="43" max="43" width="15.5546875" style="169" bestFit="1" customWidth="1"/>
    <col min="44" max="16384" width="9.21875" style="169"/>
  </cols>
  <sheetData>
    <row r="1" spans="1:32" ht="30.75" customHeight="1" x14ac:dyDescent="0.3">
      <c r="A1" s="488" t="s">
        <v>211</v>
      </c>
      <c r="B1" s="489"/>
      <c r="C1" s="489"/>
      <c r="D1" s="489"/>
      <c r="E1" s="489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</row>
    <row r="2" spans="1:32" s="172" customFormat="1" ht="60" customHeight="1" x14ac:dyDescent="0.3">
      <c r="A2" s="170" t="s">
        <v>8</v>
      </c>
      <c r="B2" s="171" t="s">
        <v>9</v>
      </c>
      <c r="C2" s="171" t="s">
        <v>149</v>
      </c>
      <c r="D2" s="171" t="s">
        <v>150</v>
      </c>
      <c r="E2" s="171" t="s">
        <v>10</v>
      </c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</row>
    <row r="3" spans="1:32" ht="45" customHeight="1" thickBot="1" x14ac:dyDescent="0.4">
      <c r="A3" s="196" t="s">
        <v>179</v>
      </c>
      <c r="B3" s="197">
        <v>0.59</v>
      </c>
      <c r="C3" s="198">
        <v>13438.42</v>
      </c>
      <c r="D3" s="259">
        <v>12</v>
      </c>
      <c r="E3" s="199">
        <f t="shared" ref="E3:E32" si="0">B3*C3*D3</f>
        <v>95144.01</v>
      </c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32" ht="18" hidden="1" customHeight="1" outlineLevel="1" x14ac:dyDescent="0.35">
      <c r="A4" s="192" t="s">
        <v>156</v>
      </c>
      <c r="B4" s="189">
        <v>0.01</v>
      </c>
      <c r="C4" s="182">
        <v>13438.42</v>
      </c>
      <c r="D4" s="180">
        <v>12</v>
      </c>
      <c r="E4" s="180">
        <f t="shared" si="0"/>
        <v>1612.61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</row>
    <row r="5" spans="1:32" ht="37.5" hidden="1" customHeight="1" outlineLevel="1" x14ac:dyDescent="0.35">
      <c r="A5" s="192" t="s">
        <v>157</v>
      </c>
      <c r="B5" s="189">
        <v>0.11</v>
      </c>
      <c r="C5" s="182">
        <v>13438.42</v>
      </c>
      <c r="D5" s="180" t="s">
        <v>14</v>
      </c>
      <c r="E5" s="180">
        <f t="shared" si="0"/>
        <v>17738.71</v>
      </c>
      <c r="F5" s="174"/>
      <c r="G5" s="174"/>
      <c r="H5" s="174"/>
      <c r="I5" s="6" t="s">
        <v>182</v>
      </c>
      <c r="J5" s="6"/>
      <c r="K5" s="6" t="s">
        <v>21</v>
      </c>
      <c r="L5" s="6" t="s">
        <v>22</v>
      </c>
      <c r="M5" s="6" t="s">
        <v>23</v>
      </c>
      <c r="N5" s="6" t="s">
        <v>24</v>
      </c>
      <c r="O5" s="6"/>
      <c r="P5" s="174"/>
      <c r="Q5" s="174"/>
      <c r="Y5" s="175"/>
      <c r="Z5" s="175"/>
    </row>
    <row r="6" spans="1:32" ht="17.25" hidden="1" customHeight="1" outlineLevel="1" x14ac:dyDescent="0.35">
      <c r="A6" s="192" t="s">
        <v>158</v>
      </c>
      <c r="B6" s="189">
        <v>0.12</v>
      </c>
      <c r="C6" s="182">
        <v>13438.42</v>
      </c>
      <c r="D6" s="180" t="s">
        <v>14</v>
      </c>
      <c r="E6" s="180">
        <f>B6*C6*D6</f>
        <v>19351.32</v>
      </c>
      <c r="F6" s="174"/>
      <c r="G6" s="174"/>
      <c r="H6" s="174"/>
      <c r="I6" s="6"/>
      <c r="J6" s="6"/>
      <c r="K6" s="6">
        <v>0.4</v>
      </c>
      <c r="L6" s="6">
        <v>0.3</v>
      </c>
      <c r="M6" s="6">
        <v>0.2</v>
      </c>
      <c r="N6" s="6">
        <v>0.1</v>
      </c>
      <c r="O6" s="6"/>
      <c r="P6" s="174"/>
      <c r="Q6" s="174"/>
    </row>
    <row r="7" spans="1:32" ht="36" hidden="1" outlineLevel="1" x14ac:dyDescent="0.35">
      <c r="A7" s="192" t="s">
        <v>159</v>
      </c>
      <c r="B7" s="189">
        <v>0.03</v>
      </c>
      <c r="C7" s="182">
        <v>13438.42</v>
      </c>
      <c r="D7" s="181">
        <v>12</v>
      </c>
      <c r="E7" s="180">
        <f t="shared" si="0"/>
        <v>4837.83</v>
      </c>
      <c r="F7" s="174"/>
      <c r="G7" s="174"/>
      <c r="H7" s="174"/>
      <c r="I7" s="6"/>
      <c r="J7" s="6"/>
      <c r="K7" s="6"/>
      <c r="L7" s="6"/>
      <c r="M7" s="6"/>
      <c r="N7" s="6"/>
      <c r="O7" s="6"/>
      <c r="P7" s="174"/>
      <c r="Q7" s="174"/>
      <c r="Y7" s="175"/>
      <c r="Z7" s="175"/>
    </row>
    <row r="8" spans="1:32" ht="36.75" hidden="1" customHeight="1" outlineLevel="1" x14ac:dyDescent="0.35">
      <c r="A8" s="192" t="s">
        <v>160</v>
      </c>
      <c r="B8" s="189">
        <v>0.15</v>
      </c>
      <c r="C8" s="182">
        <v>13438.42</v>
      </c>
      <c r="D8" s="180" t="s">
        <v>14</v>
      </c>
      <c r="E8" s="180">
        <f>B8*C8*D8</f>
        <v>24189.16</v>
      </c>
      <c r="F8" s="174"/>
      <c r="G8" s="174"/>
      <c r="H8" s="174"/>
      <c r="I8" s="6">
        <v>78000</v>
      </c>
      <c r="J8" s="7">
        <f>I8/'[1]тариф  2018 для печати'!$H$13</f>
        <v>1.52</v>
      </c>
      <c r="K8" s="7">
        <f>J8*K6</f>
        <v>0.61</v>
      </c>
      <c r="L8" s="7">
        <f>J8*L6</f>
        <v>0.46</v>
      </c>
      <c r="M8" s="7">
        <f>J8*M6</f>
        <v>0.3</v>
      </c>
      <c r="N8" s="7">
        <f>J8*N6</f>
        <v>0.15</v>
      </c>
      <c r="O8" s="6"/>
      <c r="P8" s="174"/>
      <c r="Q8" s="174"/>
      <c r="Y8" s="175"/>
      <c r="Z8" s="175"/>
    </row>
    <row r="9" spans="1:32" ht="60" hidden="1" customHeight="1" outlineLevel="1" thickBot="1" x14ac:dyDescent="0.4">
      <c r="A9" s="192" t="s">
        <v>161</v>
      </c>
      <c r="B9" s="189">
        <v>0.11</v>
      </c>
      <c r="C9" s="182">
        <v>13438.42</v>
      </c>
      <c r="D9" s="180" t="s">
        <v>14</v>
      </c>
      <c r="E9" s="180">
        <f t="shared" si="0"/>
        <v>17738.71</v>
      </c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</row>
    <row r="10" spans="1:32" ht="61.5" customHeight="1" collapsed="1" thickBot="1" x14ac:dyDescent="0.4">
      <c r="A10" s="196" t="s">
        <v>155</v>
      </c>
      <c r="B10" s="201">
        <v>7</v>
      </c>
      <c r="C10" s="198">
        <v>13438.42</v>
      </c>
      <c r="D10" s="199" t="s">
        <v>14</v>
      </c>
      <c r="E10" s="199">
        <f t="shared" si="0"/>
        <v>1128827.28</v>
      </c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Y10" s="175"/>
      <c r="Z10" s="175"/>
      <c r="AF10" s="139">
        <v>85308.18</v>
      </c>
    </row>
    <row r="11" spans="1:32" ht="40.5" hidden="1" customHeight="1" outlineLevel="1" thickBot="1" x14ac:dyDescent="0.4">
      <c r="A11" s="192" t="s">
        <v>162</v>
      </c>
      <c r="B11" s="190"/>
      <c r="C11" s="182"/>
      <c r="D11" s="180"/>
      <c r="E11" s="180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AF11" s="140">
        <v>18786.84</v>
      </c>
    </row>
    <row r="12" spans="1:32" ht="36.6" hidden="1" outlineLevel="1" thickBot="1" x14ac:dyDescent="0.4">
      <c r="A12" s="192" t="s">
        <v>163</v>
      </c>
      <c r="B12" s="189"/>
      <c r="C12" s="182"/>
      <c r="D12" s="180"/>
      <c r="E12" s="180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AF12" s="141">
        <v>388639.74</v>
      </c>
    </row>
    <row r="13" spans="1:32" ht="60" hidden="1" customHeight="1" outlineLevel="1" thickBot="1" x14ac:dyDescent="0.4">
      <c r="A13" s="192" t="s">
        <v>164</v>
      </c>
      <c r="B13" s="189"/>
      <c r="C13" s="182"/>
      <c r="D13" s="180"/>
      <c r="E13" s="180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AF13" s="141">
        <v>26449.98</v>
      </c>
    </row>
    <row r="14" spans="1:32" ht="60" hidden="1" customHeight="1" outlineLevel="1" x14ac:dyDescent="0.35">
      <c r="A14" s="192" t="s">
        <v>165</v>
      </c>
      <c r="B14" s="189"/>
      <c r="C14" s="182"/>
      <c r="D14" s="180"/>
      <c r="E14" s="180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AE14" s="169" t="e">
        <f>AF14/#REF!</f>
        <v>#REF!</v>
      </c>
      <c r="AF14" s="169">
        <f>SUM(AF10:AF13)</f>
        <v>519184.74</v>
      </c>
    </row>
    <row r="15" spans="1:32" ht="54.75" hidden="1" customHeight="1" outlineLevel="1" x14ac:dyDescent="0.35">
      <c r="A15" s="192" t="s">
        <v>166</v>
      </c>
      <c r="B15" s="189"/>
      <c r="C15" s="182"/>
      <c r="D15" s="180"/>
      <c r="E15" s="180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</row>
    <row r="16" spans="1:32" ht="36" hidden="1" outlineLevel="1" x14ac:dyDescent="0.35">
      <c r="A16" s="192" t="s">
        <v>183</v>
      </c>
      <c r="B16" s="189"/>
      <c r="C16" s="181"/>
      <c r="D16" s="180"/>
      <c r="E16" s="180"/>
    </row>
    <row r="17" spans="1:43" ht="37.5" customHeight="1" collapsed="1" x14ac:dyDescent="0.35">
      <c r="A17" s="196" t="s">
        <v>168</v>
      </c>
      <c r="B17" s="197">
        <v>5.67</v>
      </c>
      <c r="C17" s="198">
        <v>13438.42</v>
      </c>
      <c r="D17" s="200">
        <v>12</v>
      </c>
      <c r="E17" s="199">
        <f t="shared" si="0"/>
        <v>914350.1</v>
      </c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W17" s="169">
        <v>1.0900000000000001</v>
      </c>
      <c r="X17" s="169">
        <f>W17*C17</f>
        <v>14647.8778</v>
      </c>
    </row>
    <row r="18" spans="1:43" ht="37.5" hidden="1" customHeight="1" outlineLevel="1" x14ac:dyDescent="0.35">
      <c r="A18" s="192" t="s">
        <v>151</v>
      </c>
      <c r="B18" s="189"/>
      <c r="C18" s="182"/>
      <c r="D18" s="180"/>
      <c r="E18" s="180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X18" s="169">
        <f>X17*12</f>
        <v>175774.5336</v>
      </c>
    </row>
    <row r="19" spans="1:43" ht="54" hidden="1" customHeight="1" outlineLevel="1" x14ac:dyDescent="0.35">
      <c r="A19" s="192" t="s">
        <v>152</v>
      </c>
      <c r="B19" s="190"/>
      <c r="C19" s="182"/>
      <c r="D19" s="180"/>
      <c r="E19" s="180"/>
    </row>
    <row r="20" spans="1:43" ht="36" hidden="1" outlineLevel="1" x14ac:dyDescent="0.35">
      <c r="A20" s="194" t="s">
        <v>153</v>
      </c>
      <c r="B20" s="195"/>
      <c r="C20" s="182"/>
      <c r="D20" s="180"/>
      <c r="E20" s="180"/>
    </row>
    <row r="21" spans="1:43" ht="57" hidden="1" customHeight="1" outlineLevel="1" x14ac:dyDescent="0.35">
      <c r="A21" s="192" t="s">
        <v>154</v>
      </c>
      <c r="B21" s="189"/>
      <c r="C21" s="182"/>
      <c r="D21" s="180"/>
      <c r="E21" s="180"/>
    </row>
    <row r="22" spans="1:43" ht="18" hidden="1" outlineLevel="1" x14ac:dyDescent="0.35">
      <c r="A22" s="192" t="s">
        <v>176</v>
      </c>
      <c r="B22" s="189"/>
      <c r="C22" s="182"/>
      <c r="D22" s="180"/>
      <c r="E22" s="180"/>
    </row>
    <row r="23" spans="1:43" ht="36" hidden="1" outlineLevel="1" x14ac:dyDescent="0.35">
      <c r="A23" s="192" t="s">
        <v>177</v>
      </c>
      <c r="B23" s="189"/>
      <c r="C23" s="182"/>
      <c r="D23" s="180"/>
      <c r="E23" s="180"/>
    </row>
    <row r="24" spans="1:43" ht="36" hidden="1" outlineLevel="1" x14ac:dyDescent="0.35">
      <c r="A24" s="192" t="s">
        <v>178</v>
      </c>
      <c r="B24" s="189"/>
      <c r="C24" s="182"/>
      <c r="D24" s="180"/>
      <c r="E24" s="180"/>
    </row>
    <row r="25" spans="1:43" ht="18" hidden="1" outlineLevel="1" x14ac:dyDescent="0.35">
      <c r="A25" s="192" t="s">
        <v>169</v>
      </c>
      <c r="B25" s="189"/>
      <c r="C25" s="182"/>
      <c r="D25" s="180"/>
      <c r="E25" s="180"/>
    </row>
    <row r="26" spans="1:43" ht="70.5" hidden="1" customHeight="1" outlineLevel="1" x14ac:dyDescent="0.35">
      <c r="A26" s="192" t="s">
        <v>170</v>
      </c>
      <c r="B26" s="189"/>
      <c r="C26" s="182"/>
      <c r="D26" s="193"/>
      <c r="E26" s="180"/>
    </row>
    <row r="27" spans="1:43" ht="73.5" customHeight="1" collapsed="1" x14ac:dyDescent="0.35">
      <c r="A27" s="196" t="s">
        <v>180</v>
      </c>
      <c r="B27" s="201">
        <v>4.1100000000000003</v>
      </c>
      <c r="C27" s="198">
        <v>13438.42</v>
      </c>
      <c r="D27" s="199" t="s">
        <v>14</v>
      </c>
      <c r="E27" s="199">
        <f t="shared" si="0"/>
        <v>662782.87</v>
      </c>
    </row>
    <row r="28" spans="1:43" ht="189" hidden="1" customHeight="1" outlineLevel="1" x14ac:dyDescent="0.35">
      <c r="A28" s="192" t="s">
        <v>171</v>
      </c>
      <c r="B28" s="191"/>
      <c r="C28" s="182"/>
      <c r="D28" s="180"/>
      <c r="E28" s="180"/>
    </row>
    <row r="29" spans="1:43" ht="110.25" hidden="1" customHeight="1" outlineLevel="1" x14ac:dyDescent="0.35">
      <c r="A29" s="192" t="s">
        <v>172</v>
      </c>
      <c r="B29" s="191"/>
      <c r="C29" s="182"/>
      <c r="D29" s="180"/>
      <c r="E29" s="180"/>
    </row>
    <row r="30" spans="1:43" ht="54" collapsed="1" x14ac:dyDescent="0.35">
      <c r="A30" s="196" t="s">
        <v>173</v>
      </c>
      <c r="B30" s="201">
        <v>6.24</v>
      </c>
      <c r="C30" s="198">
        <v>13438.42</v>
      </c>
      <c r="D30" s="199" t="s">
        <v>14</v>
      </c>
      <c r="E30" s="199">
        <f t="shared" si="0"/>
        <v>1006268.89</v>
      </c>
    </row>
    <row r="31" spans="1:43" ht="18" x14ac:dyDescent="0.35">
      <c r="A31" s="196" t="s">
        <v>175</v>
      </c>
      <c r="B31" s="197">
        <v>5.01</v>
      </c>
      <c r="C31" s="198">
        <v>13438.42</v>
      </c>
      <c r="D31" s="199" t="s">
        <v>14</v>
      </c>
      <c r="E31" s="199">
        <f t="shared" si="0"/>
        <v>807917.81</v>
      </c>
      <c r="AQ31" s="175"/>
    </row>
    <row r="32" spans="1:43" ht="18" x14ac:dyDescent="0.35">
      <c r="A32" s="196" t="s">
        <v>174</v>
      </c>
      <c r="B32" s="201">
        <f>B31+B30+B27+B17+B10+B3</f>
        <v>28.62</v>
      </c>
      <c r="C32" s="198">
        <v>13438.42</v>
      </c>
      <c r="D32" s="199" t="s">
        <v>14</v>
      </c>
      <c r="E32" s="199">
        <f t="shared" si="0"/>
        <v>4615290.96</v>
      </c>
      <c r="X32" s="175"/>
    </row>
    <row r="33" spans="1:1" x14ac:dyDescent="0.3">
      <c r="A33" s="176"/>
    </row>
    <row r="34" spans="1:1" x14ac:dyDescent="0.3">
      <c r="A34" s="176"/>
    </row>
    <row r="35" spans="1:1" x14ac:dyDescent="0.3">
      <c r="A35" s="176"/>
    </row>
    <row r="36" spans="1:1" x14ac:dyDescent="0.3">
      <c r="A36" s="176"/>
    </row>
    <row r="37" spans="1:1" x14ac:dyDescent="0.3">
      <c r="A37" s="176"/>
    </row>
    <row r="38" spans="1:1" x14ac:dyDescent="0.3">
      <c r="A38" s="176"/>
    </row>
    <row r="39" spans="1:1" x14ac:dyDescent="0.3">
      <c r="A39" s="176"/>
    </row>
    <row r="40" spans="1:1" x14ac:dyDescent="0.3">
      <c r="A40" s="176"/>
    </row>
    <row r="41" spans="1:1" x14ac:dyDescent="0.3">
      <c r="A41" s="176"/>
    </row>
    <row r="42" spans="1:1" x14ac:dyDescent="0.3">
      <c r="A42" s="176"/>
    </row>
    <row r="43" spans="1:1" x14ac:dyDescent="0.3">
      <c r="A43" s="176"/>
    </row>
  </sheetData>
  <sheetProtection formatCells="0"/>
  <mergeCells count="2">
    <mergeCell ref="A1:E1"/>
    <mergeCell ref="F1:Q1"/>
  </mergeCells>
  <dataValidations count="2">
    <dataValidation type="list" allowBlank="1" showInputMessage="1" showErrorMessage="1" sqref="A3:A65380">
      <formula1>Справочник_работ_и_услуг</formula1>
    </dataValidation>
    <dataValidation type="list" allowBlank="1" showInputMessage="1" showErrorMessage="1" sqref="A3:A65380">
      <formula1>#REF!</formula1>
    </dataValidation>
  </dataValidations>
  <pageMargins left="0.25" right="0.25" top="0.75" bottom="0.75" header="0.3" footer="0.3"/>
  <pageSetup paperSize="9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X36"/>
  <sheetViews>
    <sheetView topLeftCell="AH1" zoomScale="70" zoomScaleNormal="70" workbookViewId="0">
      <selection activeCell="AX13" sqref="Y1:AX13"/>
    </sheetView>
  </sheetViews>
  <sheetFormatPr defaultColWidth="9.21875" defaultRowHeight="13.8" x14ac:dyDescent="0.25"/>
  <cols>
    <col min="1" max="1" width="4" style="2" hidden="1" customWidth="1"/>
    <col min="2" max="3" width="46.21875" style="2" hidden="1" customWidth="1"/>
    <col min="4" max="4" width="8.21875" style="2" hidden="1" customWidth="1"/>
    <col min="5" max="5" width="10" style="2" hidden="1" customWidth="1"/>
    <col min="6" max="6" width="10.5546875" style="2" hidden="1" customWidth="1"/>
    <col min="7" max="7" width="15.21875" style="2" hidden="1" customWidth="1"/>
    <col min="8" max="8" width="10.5546875" style="2" hidden="1" customWidth="1"/>
    <col min="9" max="20" width="9.21875" style="2" hidden="1" customWidth="1"/>
    <col min="21" max="22" width="13.21875" style="2" hidden="1" customWidth="1"/>
    <col min="23" max="23" width="13.44140625" style="2" hidden="1" customWidth="1"/>
    <col min="24" max="24" width="9.21875" style="2" hidden="1" customWidth="1"/>
    <col min="25" max="25" width="4" style="2" hidden="1" customWidth="1"/>
    <col min="26" max="26" width="46.21875" style="2" hidden="1" customWidth="1"/>
    <col min="27" max="27" width="57" style="2" hidden="1" customWidth="1"/>
    <col min="28" max="28" width="8.21875" style="2" hidden="1" customWidth="1"/>
    <col min="29" max="29" width="10" style="2" hidden="1" customWidth="1"/>
    <col min="30" max="30" width="10.5546875" style="2" hidden="1" customWidth="1"/>
    <col min="31" max="31" width="15.21875" style="2" hidden="1" customWidth="1"/>
    <col min="32" max="32" width="10.5546875" style="2" hidden="1" customWidth="1"/>
    <col min="33" max="33" width="5.21875" style="2" hidden="1" customWidth="1"/>
    <col min="34" max="34" width="61" style="2" customWidth="1"/>
    <col min="35" max="35" width="8.21875" style="2" customWidth="1"/>
    <col min="36" max="36" width="10" style="2" customWidth="1"/>
    <col min="37" max="37" width="10.5546875" style="2" customWidth="1"/>
    <col min="38" max="38" width="14.21875" style="2" customWidth="1"/>
    <col min="39" max="50" width="5.88671875" style="2" customWidth="1"/>
    <col min="51" max="16384" width="9.21875" style="2"/>
  </cols>
  <sheetData>
    <row r="1" spans="1:50" ht="86.55" customHeight="1" x14ac:dyDescent="0.35">
      <c r="N1" s="526" t="s">
        <v>106</v>
      </c>
      <c r="O1" s="527"/>
      <c r="P1" s="527"/>
      <c r="Q1" s="527"/>
      <c r="R1" s="527"/>
      <c r="S1" s="527"/>
      <c r="Y1" s="567" t="s">
        <v>202</v>
      </c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S1" s="565" t="s">
        <v>189</v>
      </c>
      <c r="AT1" s="566"/>
      <c r="AU1" s="566"/>
      <c r="AV1" s="566"/>
      <c r="AW1" s="566"/>
      <c r="AX1" s="566"/>
    </row>
    <row r="2" spans="1:50" x14ac:dyDescent="0.25">
      <c r="A2" s="49"/>
      <c r="B2" s="542" t="s">
        <v>102</v>
      </c>
      <c r="C2" s="542"/>
      <c r="D2" s="542"/>
      <c r="E2" s="542"/>
      <c r="F2" s="542"/>
      <c r="G2" s="542"/>
      <c r="H2" s="542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Y2" s="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</row>
    <row r="3" spans="1:50" ht="30" customHeight="1" x14ac:dyDescent="0.25">
      <c r="A3" s="564" t="s">
        <v>29</v>
      </c>
      <c r="B3" s="532" t="s">
        <v>25</v>
      </c>
      <c r="C3" s="532" t="s">
        <v>25</v>
      </c>
      <c r="D3" s="532" t="s">
        <v>19</v>
      </c>
      <c r="E3" s="532" t="s">
        <v>15</v>
      </c>
      <c r="F3" s="532" t="s">
        <v>16</v>
      </c>
      <c r="G3" s="532" t="s">
        <v>18</v>
      </c>
      <c r="H3" s="532" t="s">
        <v>17</v>
      </c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U3" s="568" t="s">
        <v>64</v>
      </c>
      <c r="V3" s="568" t="s">
        <v>123</v>
      </c>
      <c r="W3" s="47" t="s">
        <v>65</v>
      </c>
      <c r="Y3" s="564" t="s">
        <v>29</v>
      </c>
      <c r="Z3" s="532" t="s">
        <v>25</v>
      </c>
      <c r="AA3" s="532" t="s">
        <v>25</v>
      </c>
      <c r="AB3" s="532" t="s">
        <v>19</v>
      </c>
      <c r="AC3" s="532" t="s">
        <v>15</v>
      </c>
      <c r="AD3" s="532" t="s">
        <v>16</v>
      </c>
      <c r="AE3" s="532" t="s">
        <v>18</v>
      </c>
      <c r="AF3" s="570" t="s">
        <v>17</v>
      </c>
      <c r="AG3" s="532" t="s">
        <v>29</v>
      </c>
      <c r="AH3" s="532" t="s">
        <v>144</v>
      </c>
      <c r="AI3" s="532" t="s">
        <v>19</v>
      </c>
      <c r="AJ3" s="532" t="s">
        <v>15</v>
      </c>
      <c r="AK3" s="532" t="s">
        <v>16</v>
      </c>
      <c r="AL3" s="532" t="s">
        <v>18</v>
      </c>
      <c r="AM3" s="564" t="s">
        <v>187</v>
      </c>
      <c r="AN3" s="564"/>
      <c r="AO3" s="564"/>
      <c r="AP3" s="564"/>
      <c r="AQ3" s="564"/>
      <c r="AR3" s="564"/>
      <c r="AS3" s="564"/>
      <c r="AT3" s="564"/>
      <c r="AU3" s="564"/>
      <c r="AV3" s="564"/>
      <c r="AW3" s="564"/>
      <c r="AX3" s="564"/>
    </row>
    <row r="4" spans="1:50" ht="46.2" x14ac:dyDescent="0.25">
      <c r="A4" s="564"/>
      <c r="B4" s="533"/>
      <c r="C4" s="533"/>
      <c r="D4" s="533"/>
      <c r="E4" s="533"/>
      <c r="F4" s="534"/>
      <c r="G4" s="534"/>
      <c r="H4" s="534"/>
      <c r="I4" s="15" t="s">
        <v>40</v>
      </c>
      <c r="J4" s="15" t="s">
        <v>41</v>
      </c>
      <c r="K4" s="15" t="s">
        <v>42</v>
      </c>
      <c r="L4" s="15" t="s">
        <v>43</v>
      </c>
      <c r="M4" s="15" t="s">
        <v>44</v>
      </c>
      <c r="N4" s="15" t="s">
        <v>45</v>
      </c>
      <c r="O4" s="15" t="s">
        <v>46</v>
      </c>
      <c r="P4" s="15" t="s">
        <v>47</v>
      </c>
      <c r="Q4" s="15" t="s">
        <v>48</v>
      </c>
      <c r="R4" s="15" t="s">
        <v>49</v>
      </c>
      <c r="S4" s="15" t="s">
        <v>50</v>
      </c>
      <c r="T4" s="15" t="s">
        <v>51</v>
      </c>
      <c r="U4" s="569"/>
      <c r="V4" s="569"/>
      <c r="W4" s="47"/>
      <c r="Y4" s="564"/>
      <c r="Z4" s="533"/>
      <c r="AA4" s="533"/>
      <c r="AB4" s="533"/>
      <c r="AC4" s="533"/>
      <c r="AD4" s="534"/>
      <c r="AE4" s="534"/>
      <c r="AF4" s="571"/>
      <c r="AG4" s="532"/>
      <c r="AH4" s="533"/>
      <c r="AI4" s="533"/>
      <c r="AJ4" s="533"/>
      <c r="AK4" s="534"/>
      <c r="AL4" s="534"/>
      <c r="AM4" s="346" t="s">
        <v>40</v>
      </c>
      <c r="AN4" s="346" t="s">
        <v>41</v>
      </c>
      <c r="AO4" s="346" t="s">
        <v>42</v>
      </c>
      <c r="AP4" s="346" t="s">
        <v>43</v>
      </c>
      <c r="AQ4" s="346" t="s">
        <v>44</v>
      </c>
      <c r="AR4" s="346" t="s">
        <v>45</v>
      </c>
      <c r="AS4" s="346" t="s">
        <v>46</v>
      </c>
      <c r="AT4" s="346" t="s">
        <v>47</v>
      </c>
      <c r="AU4" s="346" t="s">
        <v>48</v>
      </c>
      <c r="AV4" s="346" t="s">
        <v>49</v>
      </c>
      <c r="AW4" s="346" t="s">
        <v>50</v>
      </c>
      <c r="AX4" s="346" t="s">
        <v>51</v>
      </c>
    </row>
    <row r="5" spans="1:50" x14ac:dyDescent="0.25">
      <c r="A5" s="50"/>
      <c r="B5" s="51"/>
      <c r="C5" s="34" t="s">
        <v>52</v>
      </c>
      <c r="D5" s="51"/>
      <c r="E5" s="51"/>
      <c r="F5" s="52"/>
      <c r="G5" s="52">
        <f>517120.1-812818.3</f>
        <v>-295698.2</v>
      </c>
      <c r="H5" s="52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3">
        <v>543823.12110726698</v>
      </c>
      <c r="V5" s="116" t="s">
        <v>127</v>
      </c>
      <c r="W5" s="47"/>
      <c r="Y5" s="136">
        <v>1</v>
      </c>
      <c r="Z5" s="45"/>
      <c r="AA5" s="34" t="s">
        <v>74</v>
      </c>
      <c r="AB5" s="45"/>
      <c r="AC5" s="45"/>
      <c r="AD5" s="43"/>
      <c r="AE5" s="73">
        <f>U33</f>
        <v>-35423</v>
      </c>
      <c r="AF5" s="161"/>
      <c r="AG5" s="146">
        <v>1</v>
      </c>
      <c r="AH5" s="148" t="s">
        <v>190</v>
      </c>
      <c r="AI5" s="215"/>
      <c r="AJ5" s="215"/>
      <c r="AK5" s="216"/>
      <c r="AL5" s="444">
        <f>'[7]К. Беляева 40Г'!$D$92</f>
        <v>183670.11</v>
      </c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</row>
    <row r="6" spans="1:50" ht="26.55" customHeight="1" x14ac:dyDescent="0.25">
      <c r="A6" s="134"/>
      <c r="B6" s="136"/>
      <c r="C6" s="34"/>
      <c r="D6" s="136"/>
      <c r="E6" s="136"/>
      <c r="F6" s="137"/>
      <c r="G6" s="137"/>
      <c r="H6" s="137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3"/>
      <c r="V6" s="116"/>
      <c r="W6" s="47"/>
      <c r="Y6" s="136">
        <v>2</v>
      </c>
      <c r="Z6" s="136"/>
      <c r="AA6" s="34" t="s">
        <v>129</v>
      </c>
      <c r="AB6" s="136"/>
      <c r="AC6" s="136"/>
      <c r="AD6" s="137"/>
      <c r="AE6" s="73">
        <f>'МКД К.Беляева 40 Г'!E17</f>
        <v>1035766</v>
      </c>
      <c r="AF6" s="161"/>
      <c r="AG6" s="146">
        <v>2</v>
      </c>
      <c r="AH6" s="206" t="s">
        <v>317</v>
      </c>
      <c r="AI6" s="215"/>
      <c r="AJ6" s="215"/>
      <c r="AK6" s="216"/>
      <c r="AL6" s="444">
        <f>'[3]2025'!$I$97</f>
        <v>113200</v>
      </c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</row>
    <row r="7" spans="1:50" x14ac:dyDescent="0.25">
      <c r="A7" s="209"/>
      <c r="B7" s="208"/>
      <c r="C7" s="34"/>
      <c r="D7" s="208"/>
      <c r="E7" s="208"/>
      <c r="F7" s="207"/>
      <c r="G7" s="207"/>
      <c r="H7" s="207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3"/>
      <c r="V7" s="116"/>
      <c r="W7" s="47"/>
      <c r="Y7" s="208"/>
      <c r="Z7" s="208"/>
      <c r="AA7" s="34"/>
      <c r="AB7" s="208"/>
      <c r="AC7" s="208"/>
      <c r="AD7" s="207"/>
      <c r="AE7" s="73"/>
      <c r="AF7" s="210"/>
      <c r="AG7" s="207"/>
      <c r="AH7" s="34" t="s">
        <v>312</v>
      </c>
      <c r="AI7" s="215"/>
      <c r="AJ7" s="215"/>
      <c r="AK7" s="216"/>
      <c r="AL7" s="444">
        <f>'МКД К.Беляева 40 Г'!E31</f>
        <v>652883.18000000005</v>
      </c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</row>
    <row r="8" spans="1:50" ht="33" customHeight="1" x14ac:dyDescent="0.25">
      <c r="A8" s="9" t="s">
        <v>55</v>
      </c>
      <c r="C8" s="20" t="s">
        <v>35</v>
      </c>
      <c r="D8" s="9"/>
      <c r="E8" s="19" t="e">
        <f>G8/F8</f>
        <v>#REF!</v>
      </c>
      <c r="F8" s="10">
        <v>60</v>
      </c>
      <c r="G8" s="35" t="e">
        <f>#REF!-#REF!-G12</f>
        <v>#REF!</v>
      </c>
      <c r="H8" s="11">
        <f>F8</f>
        <v>60</v>
      </c>
      <c r="I8" s="11"/>
      <c r="J8" s="11"/>
      <c r="K8" s="11"/>
      <c r="L8" s="11"/>
      <c r="M8" s="11"/>
      <c r="N8" s="39"/>
      <c r="O8" s="39"/>
      <c r="P8" s="39"/>
      <c r="Q8" s="11"/>
      <c r="R8" s="11"/>
      <c r="S8" s="11"/>
      <c r="T8" s="11"/>
      <c r="U8" s="33">
        <v>0</v>
      </c>
      <c r="V8" s="78" t="s">
        <v>108</v>
      </c>
      <c r="W8" s="48" t="e">
        <f t="shared" ref="W8:W14" si="0">G8-U8</f>
        <v>#REF!</v>
      </c>
      <c r="X8" s="48"/>
      <c r="Y8" s="133">
        <v>6</v>
      </c>
      <c r="Z8" s="9"/>
      <c r="AA8" s="21" t="s">
        <v>105</v>
      </c>
      <c r="AB8" s="105" t="e">
        <f>#REF!</f>
        <v>#REF!</v>
      </c>
      <c r="AC8" s="13">
        <f>AE8/AD8</f>
        <v>6480</v>
      </c>
      <c r="AD8" s="108">
        <v>4</v>
      </c>
      <c r="AE8" s="36">
        <f>13920+12000</f>
        <v>25920</v>
      </c>
      <c r="AF8" s="16">
        <f t="shared" ref="AF8:AF13" si="1">AE8</f>
        <v>25920</v>
      </c>
      <c r="AG8" s="9">
        <v>6</v>
      </c>
      <c r="AH8" s="78" t="s">
        <v>316</v>
      </c>
      <c r="AI8" s="221"/>
      <c r="AJ8" s="219"/>
      <c r="AK8" s="219"/>
      <c r="AL8" s="448">
        <v>70000</v>
      </c>
      <c r="AM8" s="213"/>
      <c r="AN8" s="213"/>
      <c r="AO8" s="213"/>
      <c r="AP8" s="213"/>
      <c r="AQ8" s="213"/>
      <c r="AR8" s="149"/>
      <c r="AS8" s="149"/>
      <c r="AT8" s="149"/>
      <c r="AU8" s="213"/>
      <c r="AV8" s="213"/>
      <c r="AW8" s="213"/>
      <c r="AX8" s="213"/>
    </row>
    <row r="9" spans="1:50" s="277" customFormat="1" ht="18.75" customHeight="1" x14ac:dyDescent="0.25">
      <c r="A9" s="9"/>
      <c r="C9" s="20"/>
      <c r="D9" s="9"/>
      <c r="E9" s="19"/>
      <c r="F9" s="10"/>
      <c r="G9" s="35"/>
      <c r="H9" s="11"/>
      <c r="I9" s="11"/>
      <c r="J9" s="11"/>
      <c r="K9" s="11"/>
      <c r="L9" s="11"/>
      <c r="M9" s="11"/>
      <c r="N9" s="39"/>
      <c r="O9" s="39"/>
      <c r="P9" s="39"/>
      <c r="Q9" s="11"/>
      <c r="R9" s="11"/>
      <c r="S9" s="11"/>
      <c r="T9" s="11"/>
      <c r="V9" s="33"/>
      <c r="W9" s="78"/>
      <c r="X9" s="48"/>
      <c r="Y9" s="345"/>
      <c r="Z9" s="12"/>
      <c r="AA9" s="12"/>
      <c r="AB9" s="9"/>
      <c r="AC9" s="9"/>
      <c r="AD9" s="9"/>
      <c r="AE9" s="35"/>
      <c r="AF9" s="11"/>
      <c r="AG9" s="345"/>
      <c r="AH9" s="148" t="s">
        <v>311</v>
      </c>
      <c r="AI9" s="9"/>
      <c r="AJ9" s="9"/>
      <c r="AK9" s="9"/>
      <c r="AL9" s="445">
        <v>2800</v>
      </c>
      <c r="AM9" s="11"/>
      <c r="AN9" s="35"/>
      <c r="AO9" s="232"/>
      <c r="AP9" s="217"/>
      <c r="AQ9" s="32"/>
      <c r="AR9" s="32"/>
      <c r="AS9" s="357"/>
      <c r="AT9" s="33"/>
      <c r="AU9" s="33"/>
      <c r="AV9" s="33"/>
      <c r="AW9" s="33"/>
      <c r="AX9" s="213"/>
    </row>
    <row r="10" spans="1:50" ht="46.95" customHeight="1" x14ac:dyDescent="0.25">
      <c r="A10" s="9"/>
      <c r="C10" s="20"/>
      <c r="D10" s="9"/>
      <c r="E10" s="19"/>
      <c r="F10" s="10"/>
      <c r="G10" s="35"/>
      <c r="H10" s="11"/>
      <c r="I10" s="11"/>
      <c r="J10" s="11"/>
      <c r="K10" s="11"/>
      <c r="L10" s="11"/>
      <c r="M10" s="11"/>
      <c r="N10" s="39"/>
      <c r="O10" s="39"/>
      <c r="P10" s="39"/>
      <c r="Q10" s="11"/>
      <c r="R10" s="11"/>
      <c r="S10" s="11"/>
      <c r="T10" s="11"/>
      <c r="U10" s="33"/>
      <c r="V10" s="78"/>
      <c r="W10" s="48"/>
      <c r="X10" s="132"/>
      <c r="Y10" s="133"/>
      <c r="Z10" s="9"/>
      <c r="AA10" s="21"/>
      <c r="AB10" s="133"/>
      <c r="AC10" s="13"/>
      <c r="AD10" s="108"/>
      <c r="AE10" s="53"/>
      <c r="AF10" s="16"/>
      <c r="AG10" s="9"/>
      <c r="AH10" s="229" t="s">
        <v>310</v>
      </c>
      <c r="AI10" s="230"/>
      <c r="AJ10" s="230"/>
      <c r="AK10" s="229" t="s">
        <v>204</v>
      </c>
      <c r="AL10" s="446">
        <f>233000+26605+19200</f>
        <v>278805</v>
      </c>
      <c r="AM10" s="230"/>
      <c r="AN10" s="230"/>
      <c r="AO10" s="229"/>
      <c r="AP10" s="229"/>
      <c r="AQ10" s="230"/>
      <c r="AR10" s="232"/>
      <c r="AS10" s="232"/>
      <c r="AT10" s="230"/>
      <c r="AU10" s="230"/>
      <c r="AV10" s="229"/>
      <c r="AW10" s="230"/>
      <c r="AX10" s="230"/>
    </row>
    <row r="11" spans="1:50" ht="31.5" customHeight="1" x14ac:dyDescent="0.3">
      <c r="A11" s="9"/>
      <c r="C11" s="20"/>
      <c r="D11" s="9"/>
      <c r="E11" s="19"/>
      <c r="F11" s="10"/>
      <c r="G11" s="35"/>
      <c r="H11" s="11"/>
      <c r="I11" s="11"/>
      <c r="J11" s="11"/>
      <c r="K11" s="11"/>
      <c r="L11" s="11"/>
      <c r="M11" s="11"/>
      <c r="N11" s="39"/>
      <c r="O11" s="39"/>
      <c r="P11" s="39"/>
      <c r="Q11" s="11"/>
      <c r="R11" s="11"/>
      <c r="S11" s="11"/>
      <c r="T11" s="11"/>
      <c r="U11" s="33"/>
      <c r="V11" s="78"/>
      <c r="W11" s="48"/>
      <c r="X11" s="132"/>
      <c r="Y11" s="133"/>
      <c r="Z11" s="9"/>
      <c r="AA11" s="21"/>
      <c r="AB11" s="133"/>
      <c r="AC11" s="13"/>
      <c r="AD11" s="108"/>
      <c r="AE11" s="53"/>
      <c r="AF11" s="16"/>
      <c r="AG11" s="9"/>
      <c r="AH11" s="229" t="s">
        <v>199</v>
      </c>
      <c r="AI11" s="1"/>
      <c r="AJ11" s="251"/>
      <c r="AK11" s="1" t="s">
        <v>195</v>
      </c>
      <c r="AL11" s="447">
        <v>105883</v>
      </c>
      <c r="AM11" s="249"/>
      <c r="AN11" s="249"/>
      <c r="AO11" s="249"/>
      <c r="AP11" s="249"/>
      <c r="AQ11" s="249"/>
      <c r="AR11" s="250"/>
      <c r="AS11" s="252"/>
      <c r="AT11" s="249"/>
      <c r="AU11" s="249"/>
      <c r="AV11" s="249"/>
      <c r="AW11" s="249"/>
      <c r="AX11" s="249"/>
    </row>
    <row r="12" spans="1:50" ht="33.75" customHeight="1" x14ac:dyDescent="0.25">
      <c r="A12" s="9" t="s">
        <v>57</v>
      </c>
      <c r="C12" s="21" t="s">
        <v>33</v>
      </c>
      <c r="D12" s="13" t="s">
        <v>26</v>
      </c>
      <c r="E12" s="29">
        <v>3500</v>
      </c>
      <c r="F12" s="30">
        <v>10</v>
      </c>
      <c r="G12" s="36">
        <v>35000</v>
      </c>
      <c r="H12" s="11">
        <v>10</v>
      </c>
      <c r="I12" s="11"/>
      <c r="J12" s="11"/>
      <c r="K12" s="11"/>
      <c r="L12" s="11"/>
      <c r="M12" s="11"/>
      <c r="N12" s="11"/>
      <c r="O12" s="39"/>
      <c r="P12" s="39"/>
      <c r="Q12" s="39"/>
      <c r="R12" s="11"/>
      <c r="S12" s="11"/>
      <c r="T12" s="11"/>
      <c r="U12" s="31">
        <v>57200</v>
      </c>
      <c r="V12" s="78" t="e">
        <f>#REF!</f>
        <v>#REF!</v>
      </c>
      <c r="W12" s="48">
        <f t="shared" si="0"/>
        <v>-22200</v>
      </c>
      <c r="Y12" s="9">
        <v>8</v>
      </c>
      <c r="Z12" s="14"/>
      <c r="AA12" s="12" t="s">
        <v>76</v>
      </c>
      <c r="AB12" s="32" t="s">
        <v>26</v>
      </c>
      <c r="AC12" s="36">
        <f>AE12</f>
        <v>40000</v>
      </c>
      <c r="AD12" s="32">
        <v>1</v>
      </c>
      <c r="AE12" s="53">
        <v>40000</v>
      </c>
      <c r="AF12" s="162">
        <f t="shared" si="1"/>
        <v>40000</v>
      </c>
      <c r="AG12" s="9">
        <v>8</v>
      </c>
      <c r="AH12" s="229" t="s">
        <v>218</v>
      </c>
      <c r="AI12" s="217"/>
      <c r="AJ12" s="217"/>
      <c r="AK12" s="217" t="s">
        <v>185</v>
      </c>
      <c r="AL12" s="448">
        <v>310000</v>
      </c>
      <c r="AM12" s="33"/>
      <c r="AN12" s="213"/>
      <c r="AO12" s="213"/>
      <c r="AP12" s="213"/>
      <c r="AQ12" s="149"/>
      <c r="AR12" s="149"/>
      <c r="AS12" s="149"/>
      <c r="AT12" s="149"/>
      <c r="AU12" s="213"/>
      <c r="AV12" s="213"/>
      <c r="AW12" s="213"/>
      <c r="AX12" s="213"/>
    </row>
    <row r="13" spans="1:50" ht="16.5" customHeight="1" x14ac:dyDescent="0.25">
      <c r="A13" s="9">
        <v>4</v>
      </c>
      <c r="C13" s="12" t="s">
        <v>37</v>
      </c>
      <c r="D13" s="13"/>
      <c r="E13" s="16">
        <f>G12</f>
        <v>35000</v>
      </c>
      <c r="F13" s="30">
        <v>1</v>
      </c>
      <c r="G13" s="29">
        <v>60000</v>
      </c>
      <c r="H13" s="11">
        <v>1</v>
      </c>
      <c r="I13" s="11"/>
      <c r="J13" s="11"/>
      <c r="K13" s="11"/>
      <c r="L13" s="11"/>
      <c r="M13" s="11"/>
      <c r="N13" s="39"/>
      <c r="O13" s="39"/>
      <c r="P13" s="39"/>
      <c r="Q13" s="11"/>
      <c r="R13" s="11"/>
      <c r="S13" s="11"/>
      <c r="T13" s="11"/>
      <c r="U13" s="31">
        <v>0</v>
      </c>
      <c r="V13" s="78"/>
      <c r="W13" s="48">
        <f t="shared" si="0"/>
        <v>60000</v>
      </c>
      <c r="Y13" s="9">
        <v>9</v>
      </c>
      <c r="Z13" s="14"/>
      <c r="AA13" s="12" t="s">
        <v>77</v>
      </c>
      <c r="AB13" s="32" t="s">
        <v>78</v>
      </c>
      <c r="AC13" s="36">
        <f>AE13/AD13</f>
        <v>500</v>
      </c>
      <c r="AD13" s="32">
        <v>20</v>
      </c>
      <c r="AE13" s="36">
        <v>10000</v>
      </c>
      <c r="AF13" s="162">
        <f t="shared" si="1"/>
        <v>10000</v>
      </c>
      <c r="AG13" s="9">
        <v>9</v>
      </c>
      <c r="AH13" s="157" t="str">
        <f>AA25</f>
        <v>Итого работ, в сумме, в руб.</v>
      </c>
      <c r="AI13" s="217"/>
      <c r="AJ13" s="218"/>
      <c r="AK13" s="217"/>
      <c r="AL13" s="448">
        <f>SUM(AL8:AL12)</f>
        <v>767488</v>
      </c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</row>
    <row r="14" spans="1:50" ht="56.25" hidden="1" customHeight="1" x14ac:dyDescent="0.25">
      <c r="A14" s="9">
        <v>5</v>
      </c>
      <c r="B14" s="12" t="s">
        <v>27</v>
      </c>
      <c r="C14" s="12" t="s">
        <v>27</v>
      </c>
      <c r="D14" s="9" t="str">
        <f>D12</f>
        <v>шт.</v>
      </c>
      <c r="E14" s="32">
        <v>500</v>
      </c>
      <c r="F14" s="30">
        <v>20</v>
      </c>
      <c r="G14" s="36">
        <f t="shared" ref="G14:G29" si="2">E14*F14</f>
        <v>10000</v>
      </c>
      <c r="H14" s="11">
        <v>20</v>
      </c>
      <c r="I14" s="14"/>
      <c r="J14" s="14"/>
      <c r="K14" s="14"/>
      <c r="L14" s="14"/>
      <c r="M14" s="14"/>
      <c r="N14" s="40"/>
      <c r="O14" s="40"/>
      <c r="P14" s="40"/>
      <c r="Q14" s="14"/>
      <c r="R14" s="14"/>
      <c r="S14" s="14"/>
      <c r="T14" s="14"/>
      <c r="U14" s="31">
        <v>10000</v>
      </c>
      <c r="V14" s="78"/>
      <c r="W14" s="48">
        <f t="shared" si="0"/>
        <v>0</v>
      </c>
      <c r="Y14" s="9">
        <v>7</v>
      </c>
      <c r="Z14" s="14"/>
      <c r="AA14" s="12" t="s">
        <v>79</v>
      </c>
      <c r="AB14" s="32" t="s">
        <v>26</v>
      </c>
      <c r="AC14" s="36">
        <f>AE14</f>
        <v>0</v>
      </c>
      <c r="AD14" s="32">
        <v>1</v>
      </c>
      <c r="AE14" s="36"/>
      <c r="AF14" s="163"/>
      <c r="AG14" s="9"/>
      <c r="AH14" s="5"/>
      <c r="AI14" s="111"/>
      <c r="AJ14" s="70"/>
      <c r="AK14" s="164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8.5" hidden="1" customHeight="1" x14ac:dyDescent="0.25">
      <c r="A15" s="9">
        <v>4</v>
      </c>
      <c r="B15" s="12"/>
      <c r="C15" s="12" t="s">
        <v>86</v>
      </c>
      <c r="D15" s="9"/>
      <c r="E15" s="32"/>
      <c r="F15" s="30"/>
      <c r="G15" s="36">
        <v>0</v>
      </c>
      <c r="H15" s="11">
        <v>0</v>
      </c>
      <c r="I15" s="11"/>
      <c r="J15" s="11"/>
      <c r="K15" s="11"/>
      <c r="L15" s="11"/>
      <c r="M15" s="11"/>
      <c r="N15" s="11"/>
      <c r="O15" s="11"/>
      <c r="P15" s="39"/>
      <c r="Q15" s="39"/>
      <c r="R15" s="39"/>
      <c r="S15" s="11"/>
      <c r="T15" s="11"/>
      <c r="U15" s="33">
        <v>41715.94</v>
      </c>
      <c r="V15" s="78" t="s">
        <v>125</v>
      </c>
      <c r="W15" s="48"/>
      <c r="Y15" s="9">
        <v>8</v>
      </c>
      <c r="Z15" s="14"/>
      <c r="AA15" s="12" t="s">
        <v>80</v>
      </c>
      <c r="AB15" s="32" t="s">
        <v>26</v>
      </c>
      <c r="AC15" s="36"/>
      <c r="AD15" s="32"/>
      <c r="AE15" s="36">
        <v>0</v>
      </c>
      <c r="AF15" s="163"/>
      <c r="AG15" s="9"/>
      <c r="AI15" s="100"/>
      <c r="AJ15" s="92"/>
      <c r="AK15" s="92"/>
      <c r="AL15" s="160"/>
    </row>
    <row r="16" spans="1:50" ht="31.5" hidden="1" customHeight="1" x14ac:dyDescent="0.25">
      <c r="A16" s="9">
        <v>5</v>
      </c>
      <c r="B16" s="12"/>
      <c r="C16" s="12" t="s">
        <v>91</v>
      </c>
      <c r="D16" s="9"/>
      <c r="E16" s="32"/>
      <c r="F16" s="30"/>
      <c r="G16" s="36">
        <v>0</v>
      </c>
      <c r="H16" s="11">
        <v>0</v>
      </c>
      <c r="I16" s="11"/>
      <c r="J16" s="11"/>
      <c r="K16" s="11"/>
      <c r="L16" s="11"/>
      <c r="M16" s="11"/>
      <c r="N16" s="11"/>
      <c r="O16" s="11"/>
      <c r="P16" s="39"/>
      <c r="Q16" s="39"/>
      <c r="R16" s="39"/>
      <c r="S16" s="11"/>
      <c r="T16" s="11"/>
      <c r="U16" s="33">
        <f>'ТК МКД К.Беляева 40 В'!V33</f>
        <v>13754</v>
      </c>
      <c r="V16" s="78" t="str">
        <f>V15</f>
        <v>фактические расходы</v>
      </c>
      <c r="W16" s="48"/>
      <c r="Y16" s="9">
        <v>10</v>
      </c>
      <c r="Z16" s="14"/>
      <c r="AA16" s="12" t="s">
        <v>93</v>
      </c>
      <c r="AB16" s="32" t="s">
        <v>83</v>
      </c>
      <c r="AC16" s="36">
        <f>AE16/AD16</f>
        <v>176</v>
      </c>
      <c r="AD16" s="32">
        <v>85</v>
      </c>
      <c r="AE16" s="36">
        <v>15000</v>
      </c>
      <c r="AF16" s="162">
        <f>AE16</f>
        <v>15000</v>
      </c>
      <c r="AG16" s="9">
        <v>10</v>
      </c>
      <c r="AI16" s="5"/>
      <c r="AJ16" s="5"/>
      <c r="AK16" s="5"/>
      <c r="AL16" s="262">
        <f>AL5+AL6+AL7-AL13</f>
        <v>182265.29</v>
      </c>
    </row>
    <row r="17" spans="1:48" ht="31.5" hidden="1" customHeight="1" x14ac:dyDescent="0.25">
      <c r="A17" s="9"/>
      <c r="B17" s="12"/>
      <c r="C17" s="12"/>
      <c r="D17" s="9"/>
      <c r="E17" s="32"/>
      <c r="F17" s="30"/>
      <c r="G17" s="36"/>
      <c r="H17" s="11"/>
      <c r="I17" s="11"/>
      <c r="J17" s="11"/>
      <c r="K17" s="11"/>
      <c r="L17" s="11"/>
      <c r="M17" s="11"/>
      <c r="N17" s="11"/>
      <c r="O17" s="11"/>
      <c r="P17" s="39"/>
      <c r="Q17" s="39"/>
      <c r="R17" s="39"/>
      <c r="S17" s="11"/>
      <c r="T17" s="11"/>
      <c r="U17" s="33"/>
      <c r="V17" s="78"/>
      <c r="W17" s="48"/>
      <c r="Y17" s="9"/>
      <c r="Z17" s="14"/>
      <c r="AA17" s="12"/>
      <c r="AB17" s="32"/>
      <c r="AC17" s="36"/>
      <c r="AD17" s="32"/>
      <c r="AE17" s="36"/>
      <c r="AF17" s="162"/>
      <c r="AG17" s="9"/>
      <c r="AH17" s="2" t="s">
        <v>315</v>
      </c>
      <c r="AI17" s="5"/>
      <c r="AJ17" s="5"/>
      <c r="AK17" s="5"/>
      <c r="AL17" s="5"/>
    </row>
    <row r="18" spans="1:48" ht="49.5" customHeight="1" x14ac:dyDescent="0.25">
      <c r="A18" s="9"/>
      <c r="B18" s="12"/>
      <c r="C18" s="12"/>
      <c r="D18" s="9"/>
      <c r="E18" s="32"/>
      <c r="F18" s="30"/>
      <c r="G18" s="36"/>
      <c r="H18" s="11"/>
      <c r="I18" s="11"/>
      <c r="J18" s="11"/>
      <c r="K18" s="11"/>
      <c r="L18" s="11"/>
      <c r="M18" s="11"/>
      <c r="N18" s="11"/>
      <c r="O18" s="11"/>
      <c r="P18" s="39"/>
      <c r="Q18" s="39"/>
      <c r="R18" s="39"/>
      <c r="S18" s="11"/>
      <c r="T18" s="11"/>
      <c r="U18" s="33"/>
      <c r="V18" s="78"/>
      <c r="W18" s="48"/>
      <c r="Y18" s="9"/>
      <c r="Z18" s="14"/>
      <c r="AA18" s="12"/>
      <c r="AB18" s="32"/>
      <c r="AC18" s="36"/>
      <c r="AD18" s="32"/>
      <c r="AE18" s="36"/>
      <c r="AF18" s="162"/>
      <c r="AG18" s="9"/>
      <c r="AQ18" s="5"/>
      <c r="AR18" s="5"/>
      <c r="AS18" s="5"/>
      <c r="AT18" s="483"/>
      <c r="AU18" s="5"/>
      <c r="AV18" s="5"/>
    </row>
    <row r="19" spans="1:48" ht="31.5" customHeight="1" x14ac:dyDescent="0.25">
      <c r="A19" s="9"/>
      <c r="B19" s="12"/>
      <c r="C19" s="12"/>
      <c r="D19" s="9"/>
      <c r="E19" s="32"/>
      <c r="F19" s="30"/>
      <c r="G19" s="36"/>
      <c r="H19" s="11"/>
      <c r="I19" s="11"/>
      <c r="J19" s="11"/>
      <c r="K19" s="11"/>
      <c r="L19" s="11"/>
      <c r="M19" s="11"/>
      <c r="N19" s="11"/>
      <c r="O19" s="11"/>
      <c r="P19" s="39"/>
      <c r="Q19" s="39"/>
      <c r="R19" s="39"/>
      <c r="S19" s="11"/>
      <c r="T19" s="11"/>
      <c r="U19" s="33"/>
      <c r="V19" s="78"/>
      <c r="W19" s="48"/>
      <c r="Y19" s="9"/>
      <c r="Z19" s="14"/>
      <c r="AA19" s="12"/>
      <c r="AB19" s="32"/>
      <c r="AC19" s="36"/>
      <c r="AD19" s="32"/>
      <c r="AE19" s="36"/>
      <c r="AF19" s="162"/>
      <c r="AG19" s="9"/>
      <c r="AQ19" s="5"/>
      <c r="AR19" s="5"/>
      <c r="AS19" s="5"/>
      <c r="AT19" s="484"/>
      <c r="AU19" s="5"/>
      <c r="AV19" s="5"/>
    </row>
    <row r="20" spans="1:48" ht="31.5" customHeight="1" x14ac:dyDescent="0.25">
      <c r="A20" s="9"/>
      <c r="B20" s="12"/>
      <c r="C20" s="12"/>
      <c r="D20" s="9"/>
      <c r="E20" s="32"/>
      <c r="F20" s="30"/>
      <c r="G20" s="36"/>
      <c r="H20" s="11"/>
      <c r="I20" s="11"/>
      <c r="J20" s="11"/>
      <c r="K20" s="11"/>
      <c r="L20" s="11"/>
      <c r="M20" s="11"/>
      <c r="N20" s="11"/>
      <c r="O20" s="11"/>
      <c r="P20" s="39"/>
      <c r="Q20" s="39"/>
      <c r="R20" s="39"/>
      <c r="S20" s="11"/>
      <c r="T20" s="11"/>
      <c r="U20" s="33"/>
      <c r="V20" s="78"/>
      <c r="W20" s="48"/>
      <c r="Y20" s="9"/>
      <c r="Z20" s="14"/>
      <c r="AA20" s="12"/>
      <c r="AB20" s="32"/>
      <c r="AC20" s="36"/>
      <c r="AD20" s="32"/>
      <c r="AE20" s="36"/>
      <c r="AF20" s="162"/>
      <c r="AG20" s="9"/>
      <c r="AQ20" s="5"/>
      <c r="AR20" s="5"/>
      <c r="AS20" s="5"/>
      <c r="AT20" s="485"/>
      <c r="AU20" s="5"/>
      <c r="AV20" s="5"/>
    </row>
    <row r="21" spans="1:48" ht="16.5" customHeight="1" x14ac:dyDescent="0.25">
      <c r="A21" s="9"/>
      <c r="B21" s="12"/>
      <c r="C21" s="12"/>
      <c r="D21" s="9"/>
      <c r="E21" s="32"/>
      <c r="F21" s="30"/>
      <c r="G21" s="36"/>
      <c r="H21" s="11"/>
      <c r="I21" s="11"/>
      <c r="J21" s="11"/>
      <c r="K21" s="11"/>
      <c r="L21" s="11"/>
      <c r="M21" s="11"/>
      <c r="N21" s="11"/>
      <c r="O21" s="11"/>
      <c r="P21" s="39"/>
      <c r="Q21" s="39"/>
      <c r="R21" s="39"/>
      <c r="S21" s="11"/>
      <c r="T21" s="11"/>
      <c r="U21" s="33"/>
      <c r="V21" s="78"/>
      <c r="W21" s="48"/>
      <c r="Y21" s="9"/>
      <c r="Z21" s="14"/>
      <c r="AA21" s="12"/>
      <c r="AB21" s="32"/>
      <c r="AC21" s="36"/>
      <c r="AD21" s="32"/>
      <c r="AE21" s="36"/>
      <c r="AF21" s="162"/>
      <c r="AG21" s="9"/>
      <c r="AQ21" s="5"/>
      <c r="AR21" s="5"/>
      <c r="AS21" s="5"/>
      <c r="AT21" s="486"/>
      <c r="AU21" s="5"/>
      <c r="AV21" s="5"/>
    </row>
    <row r="22" spans="1:48" ht="27.6" x14ac:dyDescent="0.25">
      <c r="A22" s="9">
        <v>6</v>
      </c>
      <c r="B22" s="12"/>
      <c r="C22" s="12" t="s">
        <v>90</v>
      </c>
      <c r="D22" s="9"/>
      <c r="E22" s="32"/>
      <c r="F22" s="30"/>
      <c r="G22" s="36">
        <v>0</v>
      </c>
      <c r="H22" s="11">
        <v>0</v>
      </c>
      <c r="I22" s="11"/>
      <c r="J22" s="11"/>
      <c r="K22" s="11"/>
      <c r="L22" s="11"/>
      <c r="M22" s="11"/>
      <c r="N22" s="11"/>
      <c r="O22" s="11"/>
      <c r="P22" s="39"/>
      <c r="Q22" s="39"/>
      <c r="R22" s="39"/>
      <c r="S22" s="11"/>
      <c r="T22" s="11"/>
      <c r="U22" s="115">
        <f>'[4]текущий ремонт'!$F$10</f>
        <v>8864.57</v>
      </c>
      <c r="V22" s="78" t="str">
        <f>V16</f>
        <v>фактические расходы</v>
      </c>
      <c r="W22" s="48"/>
      <c r="Y22" s="9">
        <v>11</v>
      </c>
      <c r="Z22" s="14"/>
      <c r="AA22" s="12" t="s">
        <v>81</v>
      </c>
      <c r="AB22" s="32" t="s">
        <v>83</v>
      </c>
      <c r="AC22" s="36">
        <f>AE22/AD22</f>
        <v>471</v>
      </c>
      <c r="AD22" s="32">
        <v>85</v>
      </c>
      <c r="AE22" s="36">
        <v>40000</v>
      </c>
      <c r="AF22" s="11">
        <f>AE22</f>
        <v>40000</v>
      </c>
      <c r="AG22" s="9">
        <v>11</v>
      </c>
      <c r="AQ22" s="5"/>
      <c r="AR22" s="5"/>
      <c r="AS22" s="5"/>
      <c r="AT22" s="487"/>
      <c r="AU22" s="5"/>
      <c r="AV22" s="5"/>
    </row>
    <row r="23" spans="1:48" ht="26.25" customHeight="1" x14ac:dyDescent="0.25">
      <c r="A23" s="9"/>
      <c r="B23" s="12"/>
      <c r="C23" s="12"/>
      <c r="D23" s="9"/>
      <c r="E23" s="32"/>
      <c r="F23" s="30"/>
      <c r="G23" s="36"/>
      <c r="H23" s="11"/>
      <c r="I23" s="11"/>
      <c r="J23" s="11"/>
      <c r="K23" s="11"/>
      <c r="L23" s="11"/>
      <c r="M23" s="11"/>
      <c r="N23" s="11"/>
      <c r="O23" s="11"/>
      <c r="P23" s="39"/>
      <c r="Q23" s="39"/>
      <c r="R23" s="39"/>
      <c r="S23" s="11"/>
      <c r="T23" s="11"/>
      <c r="U23" s="115"/>
      <c r="V23" s="78"/>
      <c r="W23" s="48"/>
      <c r="Y23" s="9">
        <v>12</v>
      </c>
      <c r="Z23" s="14"/>
      <c r="AA23" s="12" t="s">
        <v>128</v>
      </c>
      <c r="AB23" s="9" t="s">
        <v>26</v>
      </c>
      <c r="AC23" s="35">
        <f>AE23</f>
        <v>37500</v>
      </c>
      <c r="AD23" s="35">
        <v>1</v>
      </c>
      <c r="AE23" s="35">
        <f>'ТК МКД К.Беляева 40 Б'!AG23</f>
        <v>37500</v>
      </c>
      <c r="AF23" s="11">
        <f>AE23</f>
        <v>37500</v>
      </c>
      <c r="AG23" s="9">
        <v>12</v>
      </c>
    </row>
    <row r="24" spans="1:48" ht="18" customHeight="1" x14ac:dyDescent="0.25">
      <c r="A24" s="9"/>
      <c r="B24" s="12"/>
      <c r="C24" s="12"/>
      <c r="D24" s="9"/>
      <c r="E24" s="32"/>
      <c r="F24" s="30"/>
      <c r="G24" s="36"/>
      <c r="H24" s="11"/>
      <c r="I24" s="11"/>
      <c r="J24" s="11"/>
      <c r="K24" s="11"/>
      <c r="L24" s="11"/>
      <c r="M24" s="11"/>
      <c r="N24" s="11"/>
      <c r="O24" s="11"/>
      <c r="P24" s="39"/>
      <c r="Q24" s="39"/>
      <c r="R24" s="39"/>
      <c r="S24" s="11"/>
      <c r="T24" s="11"/>
      <c r="U24" s="115"/>
      <c r="V24" s="78"/>
      <c r="W24" s="48"/>
      <c r="Y24" s="9">
        <v>13</v>
      </c>
      <c r="Z24" s="113"/>
      <c r="AA24" s="12" t="s">
        <v>38</v>
      </c>
      <c r="AB24" s="9"/>
      <c r="AC24" s="35">
        <f>AE24</f>
        <v>3400</v>
      </c>
      <c r="AD24" s="138">
        <v>1</v>
      </c>
      <c r="AE24" s="35">
        <v>3400</v>
      </c>
      <c r="AF24" s="162">
        <f>AE24</f>
        <v>3400</v>
      </c>
      <c r="AG24" s="5"/>
    </row>
    <row r="25" spans="1:48" ht="18" customHeight="1" x14ac:dyDescent="0.25">
      <c r="A25" s="9">
        <v>7</v>
      </c>
      <c r="B25" s="12"/>
      <c r="C25" s="12" t="s">
        <v>95</v>
      </c>
      <c r="D25" s="9"/>
      <c r="E25" s="32"/>
      <c r="F25" s="30"/>
      <c r="G25" s="36">
        <v>0</v>
      </c>
      <c r="H25" s="11">
        <v>0</v>
      </c>
      <c r="I25" s="11"/>
      <c r="J25" s="11"/>
      <c r="K25" s="11"/>
      <c r="L25" s="11"/>
      <c r="M25" s="11"/>
      <c r="N25" s="11"/>
      <c r="O25" s="11"/>
      <c r="P25" s="39"/>
      <c r="Q25" s="39"/>
      <c r="R25" s="39"/>
      <c r="S25" s="11"/>
      <c r="T25" s="11"/>
      <c r="U25" s="31">
        <v>15148</v>
      </c>
      <c r="V25" s="78" t="str">
        <f>V22</f>
        <v>фактические расходы</v>
      </c>
      <c r="W25" s="48"/>
      <c r="Y25" s="9">
        <v>14</v>
      </c>
      <c r="Z25" s="63"/>
      <c r="AA25" s="63" t="s">
        <v>53</v>
      </c>
      <c r="AB25" s="55"/>
      <c r="AC25" s="64"/>
      <c r="AD25" s="64"/>
      <c r="AE25" s="58">
        <f>SUM(AE8:AE24)</f>
        <v>171820</v>
      </c>
      <c r="AF25" s="165">
        <f>SUM(AF8:AF24)</f>
        <v>171820</v>
      </c>
      <c r="AG25" s="160"/>
    </row>
    <row r="26" spans="1:48" ht="21" customHeight="1" x14ac:dyDescent="0.25">
      <c r="A26" s="9">
        <v>8</v>
      </c>
      <c r="B26" s="131"/>
      <c r="C26" s="12" t="s">
        <v>89</v>
      </c>
      <c r="D26" s="9"/>
      <c r="E26" s="32"/>
      <c r="F26" s="30"/>
      <c r="G26" s="36"/>
      <c r="H26" s="11">
        <v>0</v>
      </c>
      <c r="I26" s="11"/>
      <c r="J26" s="11"/>
      <c r="K26" s="11"/>
      <c r="L26" s="11"/>
      <c r="M26" s="11"/>
      <c r="N26" s="11"/>
      <c r="O26" s="11"/>
      <c r="P26" s="39"/>
      <c r="Q26" s="39"/>
      <c r="R26" s="39"/>
      <c r="S26" s="11"/>
      <c r="T26" s="11"/>
      <c r="U26" s="31">
        <v>26625</v>
      </c>
      <c r="V26" s="78" t="s">
        <v>120</v>
      </c>
      <c r="W26" s="132"/>
      <c r="Y26" s="9">
        <v>15</v>
      </c>
      <c r="Z26" s="14"/>
      <c r="AA26" s="14" t="s">
        <v>54</v>
      </c>
      <c r="AB26" s="14"/>
      <c r="AC26" s="14"/>
      <c r="AD26" s="14"/>
      <c r="AE26" s="35">
        <f>AE5+AE6-AE25</f>
        <v>828523</v>
      </c>
      <c r="AF26" s="162">
        <f>AE5+AE6-AF25</f>
        <v>828523</v>
      </c>
      <c r="AG26" s="5"/>
    </row>
    <row r="27" spans="1:48" ht="27.6" x14ac:dyDescent="0.25">
      <c r="A27" s="9">
        <v>9</v>
      </c>
      <c r="C27" s="12" t="s">
        <v>87</v>
      </c>
      <c r="D27" s="13"/>
      <c r="E27" s="35"/>
      <c r="F27" s="30"/>
      <c r="G27" s="29"/>
      <c r="H27" s="29"/>
      <c r="I27" s="11"/>
      <c r="J27" s="11"/>
      <c r="K27" s="11"/>
      <c r="L27" s="11"/>
      <c r="M27" s="11"/>
      <c r="N27" s="11"/>
      <c r="O27" s="11"/>
      <c r="P27" s="39"/>
      <c r="Q27" s="39"/>
      <c r="R27" s="39"/>
      <c r="S27" s="11"/>
      <c r="T27" s="11"/>
      <c r="U27" s="115">
        <v>8043.27</v>
      </c>
      <c r="V27" s="120" t="s">
        <v>113</v>
      </c>
      <c r="Y27" s="111"/>
      <c r="Z27" s="5"/>
      <c r="AA27" s="5"/>
      <c r="AB27" s="5"/>
      <c r="AC27" s="5"/>
      <c r="AD27" s="5"/>
      <c r="AE27" s="70"/>
      <c r="AF27" s="5"/>
      <c r="AG27" s="5"/>
    </row>
    <row r="28" spans="1:48" ht="27.6" x14ac:dyDescent="0.25">
      <c r="A28" s="9">
        <v>10</v>
      </c>
      <c r="B28" s="12"/>
      <c r="C28" s="12" t="s">
        <v>92</v>
      </c>
      <c r="D28" s="9"/>
      <c r="E28" s="32"/>
      <c r="F28" s="30"/>
      <c r="G28" s="36">
        <v>0</v>
      </c>
      <c r="H28" s="11">
        <v>0</v>
      </c>
      <c r="I28" s="11"/>
      <c r="J28" s="11"/>
      <c r="K28" s="11"/>
      <c r="L28" s="11"/>
      <c r="M28" s="11"/>
      <c r="N28" s="11"/>
      <c r="O28" s="11"/>
      <c r="P28" s="39"/>
      <c r="Q28" s="39"/>
      <c r="R28" s="39"/>
      <c r="S28" s="11"/>
      <c r="T28" s="11"/>
      <c r="U28" s="115">
        <v>19197.28</v>
      </c>
      <c r="V28" s="78" t="str">
        <f>V25</f>
        <v>фактические расходы</v>
      </c>
      <c r="W28" s="48"/>
      <c r="AE28" s="18"/>
    </row>
    <row r="29" spans="1:48" ht="69" x14ac:dyDescent="0.25">
      <c r="A29" s="9">
        <v>11</v>
      </c>
      <c r="B29" s="12" t="s">
        <v>31</v>
      </c>
      <c r="C29" s="12" t="str">
        <f>B29</f>
        <v>Подготовка к отопительному сезону 2019-2020гг. Сдача опрессовки, промывка теплообменников ГВС ( замена вышедших из строя затворов, шаровых кранов, манометров, термометров и прочего оборудования)</v>
      </c>
      <c r="D29" s="9" t="s">
        <v>26</v>
      </c>
      <c r="E29" s="14">
        <f>85000/2</f>
        <v>42500</v>
      </c>
      <c r="F29" s="14">
        <v>1</v>
      </c>
      <c r="G29" s="35">
        <f t="shared" si="2"/>
        <v>42500</v>
      </c>
      <c r="H29" s="14">
        <v>1</v>
      </c>
      <c r="I29" s="11"/>
      <c r="J29" s="11"/>
      <c r="K29" s="11"/>
      <c r="L29" s="11"/>
      <c r="M29" s="11"/>
      <c r="N29" s="11"/>
      <c r="O29" s="11"/>
      <c r="P29" s="39"/>
      <c r="Q29" s="39"/>
      <c r="R29" s="39"/>
      <c r="S29" s="11"/>
      <c r="T29" s="11"/>
      <c r="U29" s="31">
        <f>G29</f>
        <v>42500</v>
      </c>
      <c r="V29" s="78" t="s">
        <v>116</v>
      </c>
      <c r="W29" s="48">
        <f>G29-U29</f>
        <v>0</v>
      </c>
    </row>
    <row r="30" spans="1:48" x14ac:dyDescent="0.25">
      <c r="A30" s="9">
        <v>12</v>
      </c>
      <c r="B30" s="12" t="s">
        <v>38</v>
      </c>
      <c r="C30" s="12" t="s">
        <v>58</v>
      </c>
      <c r="D30" s="9" t="s">
        <v>26</v>
      </c>
      <c r="E30" s="31">
        <f>G30</f>
        <v>40500</v>
      </c>
      <c r="F30" s="33">
        <v>1</v>
      </c>
      <c r="G30" s="36">
        <v>40500</v>
      </c>
      <c r="H30" s="14">
        <v>1</v>
      </c>
      <c r="I30" s="11"/>
      <c r="J30" s="11"/>
      <c r="K30" s="11"/>
      <c r="L30" s="11"/>
      <c r="M30" s="11"/>
      <c r="N30" s="11"/>
      <c r="O30" s="11"/>
      <c r="P30" s="39"/>
      <c r="Q30" s="39"/>
      <c r="R30" s="39"/>
      <c r="S30" s="11"/>
      <c r="T30" s="11"/>
      <c r="U30" s="31">
        <f>G30</f>
        <v>40500</v>
      </c>
      <c r="V30" s="78" t="s">
        <v>117</v>
      </c>
      <c r="W30" s="48">
        <f>G30-U30</f>
        <v>0</v>
      </c>
    </row>
    <row r="31" spans="1:48" ht="41.4" x14ac:dyDescent="0.25">
      <c r="A31" s="9">
        <v>13</v>
      </c>
      <c r="B31" s="12"/>
      <c r="C31" s="12" t="s">
        <v>69</v>
      </c>
      <c r="D31" s="9" t="s">
        <v>26</v>
      </c>
      <c r="E31" s="2">
        <v>0</v>
      </c>
      <c r="F31" s="33">
        <v>0</v>
      </c>
      <c r="G31" s="36">
        <v>0</v>
      </c>
      <c r="H31" s="14">
        <v>1</v>
      </c>
      <c r="I31" s="14"/>
      <c r="J31" s="14"/>
      <c r="K31" s="14"/>
      <c r="L31" s="40"/>
      <c r="M31" s="14"/>
      <c r="N31" s="14"/>
      <c r="O31" s="14"/>
      <c r="P31" s="14"/>
      <c r="Q31" s="14"/>
      <c r="R31" s="14"/>
      <c r="S31" s="14"/>
      <c r="T31" s="14"/>
      <c r="U31" s="31">
        <v>1287</v>
      </c>
      <c r="V31" s="122" t="s">
        <v>118</v>
      </c>
      <c r="W31" s="48">
        <f>G31-U31</f>
        <v>-1287</v>
      </c>
    </row>
    <row r="32" spans="1:48" x14ac:dyDescent="0.25">
      <c r="A32" s="9">
        <v>14</v>
      </c>
      <c r="B32" s="12"/>
      <c r="C32" s="12" t="s">
        <v>53</v>
      </c>
      <c r="D32" s="9"/>
      <c r="E32" s="33"/>
      <c r="F32" s="33"/>
      <c r="G32" s="37" t="e">
        <f>#REF!+#REF!+#REF!+G13+G14+G29+G30</f>
        <v>#REF!</v>
      </c>
      <c r="H32" s="14"/>
      <c r="I32" s="14"/>
      <c r="J32" s="14"/>
      <c r="K32" s="14"/>
      <c r="L32" s="33"/>
      <c r="M32" s="14"/>
      <c r="N32" s="14"/>
      <c r="O32" s="14"/>
      <c r="P32" s="14"/>
      <c r="Q32" s="14"/>
      <c r="R32" s="14"/>
      <c r="S32" s="14"/>
      <c r="T32" s="14"/>
      <c r="U32" s="31">
        <f>SUM(U8:U30)</f>
        <v>283548</v>
      </c>
      <c r="V32" s="78"/>
      <c r="W32" s="47"/>
    </row>
    <row r="33" spans="1:23" x14ac:dyDescent="0.25">
      <c r="A33" s="9">
        <v>15</v>
      </c>
      <c r="B33" s="14"/>
      <c r="C33" s="14" t="s">
        <v>54</v>
      </c>
      <c r="D33" s="14"/>
      <c r="E33" s="14"/>
      <c r="F33" s="14"/>
      <c r="G33" s="35" t="e">
        <f>G32+295698.2-'[8]МКД К.Беляева 40 Г'!E16</f>
        <v>#REF!</v>
      </c>
      <c r="H33" s="102"/>
      <c r="I33" s="102"/>
      <c r="J33" s="102"/>
      <c r="K33" s="102"/>
      <c r="L33" s="126"/>
      <c r="M33" s="102"/>
      <c r="N33" s="102"/>
      <c r="O33" s="102"/>
      <c r="P33" s="102"/>
      <c r="Q33" s="102"/>
      <c r="R33" s="102"/>
      <c r="S33" s="102"/>
      <c r="T33" s="102"/>
      <c r="U33" s="125">
        <f>G5+U5-U32</f>
        <v>-35423</v>
      </c>
      <c r="V33" s="125"/>
      <c r="W33" s="103"/>
    </row>
    <row r="34" spans="1:23" x14ac:dyDescent="0.25">
      <c r="G34" s="18"/>
      <c r="H34" s="101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1"/>
      <c r="V34" s="101"/>
      <c r="W34" s="101"/>
    </row>
    <row r="35" spans="1:23" x14ac:dyDescent="0.25"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x14ac:dyDescent="0.25"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</sheetData>
  <mergeCells count="31">
    <mergeCell ref="Z2:AX2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Y1:AQ1"/>
    <mergeCell ref="V3:V4"/>
    <mergeCell ref="U3:U4"/>
    <mergeCell ref="AM3:AX3"/>
    <mergeCell ref="A3:A4"/>
    <mergeCell ref="B3:B4"/>
    <mergeCell ref="C3:C4"/>
    <mergeCell ref="D3:D4"/>
    <mergeCell ref="E3:E4"/>
    <mergeCell ref="I3:T3"/>
    <mergeCell ref="N1:S1"/>
    <mergeCell ref="AS1:AX1"/>
    <mergeCell ref="B2:H2"/>
    <mergeCell ref="F3:F4"/>
    <mergeCell ref="G3:G4"/>
    <mergeCell ref="H3:H4"/>
  </mergeCells>
  <pageMargins left="0.25" right="0.25" top="0.75" bottom="0.75" header="0.3" footer="0.3"/>
  <pageSetup paperSize="9" scale="81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U42"/>
  <sheetViews>
    <sheetView topLeftCell="AZ1" zoomScale="70" zoomScaleNormal="70" workbookViewId="0">
      <selection activeCell="BT13" sqref="AZ1:BT13"/>
    </sheetView>
  </sheetViews>
  <sheetFormatPr defaultColWidth="9.21875" defaultRowHeight="13.8" x14ac:dyDescent="0.25"/>
  <cols>
    <col min="1" max="1" width="4" style="71" hidden="1" customWidth="1"/>
    <col min="2" max="3" width="46.21875" style="71" hidden="1" customWidth="1"/>
    <col min="4" max="4" width="8.21875" style="71" hidden="1" customWidth="1"/>
    <col min="5" max="5" width="10" style="71" hidden="1" customWidth="1"/>
    <col min="6" max="6" width="10.5546875" style="71" hidden="1" customWidth="1"/>
    <col min="7" max="7" width="15.21875" style="71" hidden="1" customWidth="1"/>
    <col min="8" max="8" width="13.44140625" style="71" hidden="1" customWidth="1"/>
    <col min="9" max="9" width="10.5546875" style="71" hidden="1" customWidth="1"/>
    <col min="10" max="22" width="9.21875" style="71" hidden="1" customWidth="1"/>
    <col min="23" max="24" width="13.21875" style="71" hidden="1" customWidth="1"/>
    <col min="25" max="26" width="9.21875" style="71" hidden="1" customWidth="1"/>
    <col min="27" max="27" width="4.77734375" style="71" hidden="1" customWidth="1"/>
    <col min="28" max="28" width="46.44140625" style="71" hidden="1" customWidth="1"/>
    <col min="29" max="29" width="8.21875" style="71" hidden="1" customWidth="1"/>
    <col min="30" max="30" width="10" style="71" hidden="1" customWidth="1"/>
    <col min="31" max="31" width="10.5546875" style="71" hidden="1" customWidth="1"/>
    <col min="32" max="32" width="15.21875" style="71" hidden="1" customWidth="1"/>
    <col min="33" max="33" width="13.44140625" style="71" hidden="1" customWidth="1"/>
    <col min="34" max="35" width="10.5546875" style="71" hidden="1" customWidth="1"/>
    <col min="36" max="36" width="46.44140625" style="71" hidden="1" customWidth="1"/>
    <col min="37" max="48" width="9.21875" style="71" hidden="1" customWidth="1"/>
    <col min="49" max="49" width="16" style="71" hidden="1" customWidth="1"/>
    <col min="50" max="50" width="2.44140625" style="71" hidden="1" customWidth="1"/>
    <col min="51" max="51" width="4.77734375" style="71" hidden="1" customWidth="1"/>
    <col min="52" max="52" width="59.21875" style="71" customWidth="1"/>
    <col min="53" max="53" width="8.21875" style="71" customWidth="1"/>
    <col min="54" max="54" width="10" style="71" customWidth="1"/>
    <col min="55" max="55" width="14.77734375" style="71" customWidth="1"/>
    <col min="56" max="56" width="13.44140625" style="71" hidden="1" customWidth="1"/>
    <col min="57" max="57" width="13.21875" style="71" customWidth="1"/>
    <col min="58" max="58" width="10.5546875" style="71" hidden="1" customWidth="1"/>
    <col min="59" max="59" width="46.44140625" style="71" hidden="1" customWidth="1"/>
    <col min="60" max="60" width="14.109375" style="71" customWidth="1"/>
    <col min="61" max="72" width="6.44140625" style="71" customWidth="1"/>
    <col min="73" max="73" width="16" style="71" hidden="1" customWidth="1"/>
    <col min="74" max="16384" width="9.21875" style="71"/>
  </cols>
  <sheetData>
    <row r="1" spans="1:73" ht="90" customHeight="1" x14ac:dyDescent="0.35">
      <c r="P1" s="578" t="s">
        <v>85</v>
      </c>
      <c r="Q1" s="578"/>
      <c r="R1" s="578"/>
      <c r="S1" s="578"/>
      <c r="T1" s="578"/>
      <c r="U1" s="578"/>
      <c r="AB1" s="535" t="s">
        <v>146</v>
      </c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Q1" s="565" t="s">
        <v>147</v>
      </c>
      <c r="AR1" s="565"/>
      <c r="AS1" s="565"/>
      <c r="AT1" s="565"/>
      <c r="AU1" s="565"/>
      <c r="AV1" s="565"/>
      <c r="AZ1" s="535" t="s">
        <v>206</v>
      </c>
      <c r="BA1" s="535"/>
      <c r="BB1" s="535"/>
      <c r="BC1" s="535"/>
      <c r="BD1" s="535"/>
      <c r="BE1" s="535"/>
      <c r="BF1" s="535"/>
      <c r="BG1" s="535"/>
      <c r="BH1" s="535"/>
      <c r="BI1" s="535"/>
      <c r="BJ1" s="535"/>
      <c r="BK1" s="535"/>
      <c r="BL1" s="535"/>
      <c r="BO1" s="565" t="s">
        <v>207</v>
      </c>
      <c r="BP1" s="565"/>
      <c r="BQ1" s="565"/>
      <c r="BR1" s="565"/>
      <c r="BS1" s="565"/>
      <c r="BT1" s="565"/>
    </row>
    <row r="2" spans="1:73" x14ac:dyDescent="0.25">
      <c r="A2" s="75"/>
      <c r="B2" s="579" t="s">
        <v>101</v>
      </c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</row>
    <row r="3" spans="1:73" ht="30" customHeight="1" x14ac:dyDescent="0.25">
      <c r="A3" s="574" t="s">
        <v>29</v>
      </c>
      <c r="B3" s="576" t="s">
        <v>25</v>
      </c>
      <c r="C3" s="576" t="s">
        <v>25</v>
      </c>
      <c r="D3" s="576" t="s">
        <v>19</v>
      </c>
      <c r="E3" s="576" t="s">
        <v>15</v>
      </c>
      <c r="F3" s="576" t="s">
        <v>16</v>
      </c>
      <c r="G3" s="576" t="s">
        <v>18</v>
      </c>
      <c r="H3" s="359"/>
      <c r="I3" s="576" t="s">
        <v>17</v>
      </c>
      <c r="J3" s="580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2"/>
      <c r="W3" s="568" t="s">
        <v>64</v>
      </c>
      <c r="X3" s="572" t="s">
        <v>123</v>
      </c>
      <c r="Y3" s="93" t="s">
        <v>65</v>
      </c>
      <c r="AA3" s="568" t="s">
        <v>29</v>
      </c>
      <c r="AB3" s="576" t="s">
        <v>25</v>
      </c>
      <c r="AC3" s="576" t="s">
        <v>19</v>
      </c>
      <c r="AD3" s="576" t="s">
        <v>15</v>
      </c>
      <c r="AE3" s="576" t="s">
        <v>16</v>
      </c>
      <c r="AF3" s="576" t="s">
        <v>18</v>
      </c>
      <c r="AG3" s="359"/>
      <c r="AH3" s="576" t="s">
        <v>17</v>
      </c>
      <c r="AI3" s="576" t="s">
        <v>29</v>
      </c>
      <c r="AJ3" s="576" t="s">
        <v>25</v>
      </c>
      <c r="AK3" s="580" t="s">
        <v>145</v>
      </c>
      <c r="AL3" s="581"/>
      <c r="AM3" s="581"/>
      <c r="AN3" s="581"/>
      <c r="AO3" s="581"/>
      <c r="AP3" s="581"/>
      <c r="AQ3" s="581"/>
      <c r="AR3" s="581"/>
      <c r="AS3" s="581"/>
      <c r="AT3" s="581"/>
      <c r="AU3" s="581"/>
      <c r="AV3" s="582"/>
      <c r="AW3" s="33" t="s">
        <v>131</v>
      </c>
      <c r="AY3" s="568" t="s">
        <v>29</v>
      </c>
      <c r="AZ3" s="576" t="s">
        <v>25</v>
      </c>
      <c r="BA3" s="576" t="s">
        <v>19</v>
      </c>
      <c r="BB3" s="576" t="s">
        <v>15</v>
      </c>
      <c r="BC3" s="576" t="s">
        <v>16</v>
      </c>
      <c r="BD3" s="359"/>
      <c r="BE3" s="576" t="s">
        <v>18</v>
      </c>
      <c r="BF3" s="576" t="s">
        <v>29</v>
      </c>
      <c r="BG3" s="576" t="s">
        <v>25</v>
      </c>
      <c r="BH3" s="361" t="s">
        <v>216</v>
      </c>
      <c r="BI3" s="580" t="s">
        <v>208</v>
      </c>
      <c r="BJ3" s="581"/>
      <c r="BK3" s="581"/>
      <c r="BL3" s="581"/>
      <c r="BM3" s="581"/>
      <c r="BN3" s="581"/>
      <c r="BO3" s="581"/>
      <c r="BP3" s="581"/>
      <c r="BQ3" s="581"/>
      <c r="BR3" s="581"/>
      <c r="BS3" s="581"/>
      <c r="BT3" s="582"/>
      <c r="BU3" s="33" t="s">
        <v>131</v>
      </c>
    </row>
    <row r="4" spans="1:73" ht="46.5" customHeight="1" x14ac:dyDescent="0.25">
      <c r="A4" s="575"/>
      <c r="B4" s="577"/>
      <c r="C4" s="577"/>
      <c r="D4" s="577"/>
      <c r="E4" s="577"/>
      <c r="F4" s="577"/>
      <c r="G4" s="577"/>
      <c r="H4" s="363"/>
      <c r="I4" s="577"/>
      <c r="J4" s="38" t="s">
        <v>40</v>
      </c>
      <c r="K4" s="38" t="s">
        <v>41</v>
      </c>
      <c r="L4" s="38" t="s">
        <v>42</v>
      </c>
      <c r="M4" s="38" t="s">
        <v>43</v>
      </c>
      <c r="N4" s="38" t="s">
        <v>44</v>
      </c>
      <c r="O4" s="38" t="s">
        <v>45</v>
      </c>
      <c r="P4" s="38" t="s">
        <v>46</v>
      </c>
      <c r="Q4" s="38" t="s">
        <v>47</v>
      </c>
      <c r="R4" s="38" t="s">
        <v>48</v>
      </c>
      <c r="S4" s="38" t="s">
        <v>49</v>
      </c>
      <c r="T4" s="38" t="s">
        <v>50</v>
      </c>
      <c r="U4" s="38" t="s">
        <v>51</v>
      </c>
      <c r="W4" s="569"/>
      <c r="X4" s="573"/>
      <c r="Y4" s="93"/>
      <c r="AA4" s="569"/>
      <c r="AB4" s="577"/>
      <c r="AC4" s="577"/>
      <c r="AD4" s="577"/>
      <c r="AE4" s="577"/>
      <c r="AF4" s="577"/>
      <c r="AG4" s="363"/>
      <c r="AH4" s="577"/>
      <c r="AI4" s="577"/>
      <c r="AJ4" s="577"/>
      <c r="AK4" s="38" t="s">
        <v>40</v>
      </c>
      <c r="AL4" s="38" t="s">
        <v>41</v>
      </c>
      <c r="AM4" s="38" t="s">
        <v>42</v>
      </c>
      <c r="AN4" s="38" t="s">
        <v>43</v>
      </c>
      <c r="AO4" s="38" t="s">
        <v>44</v>
      </c>
      <c r="AP4" s="38" t="s">
        <v>45</v>
      </c>
      <c r="AQ4" s="38" t="s">
        <v>46</v>
      </c>
      <c r="AR4" s="38" t="s">
        <v>47</v>
      </c>
      <c r="AS4" s="38" t="s">
        <v>48</v>
      </c>
      <c r="AT4" s="38" t="s">
        <v>49</v>
      </c>
      <c r="AU4" s="38" t="s">
        <v>50</v>
      </c>
      <c r="AV4" s="38" t="s">
        <v>51</v>
      </c>
      <c r="AW4" s="33"/>
      <c r="AY4" s="569"/>
      <c r="AZ4" s="577"/>
      <c r="BA4" s="577"/>
      <c r="BB4" s="577"/>
      <c r="BC4" s="577"/>
      <c r="BD4" s="363"/>
      <c r="BE4" s="577"/>
      <c r="BF4" s="577"/>
      <c r="BG4" s="577"/>
      <c r="BH4" s="362"/>
      <c r="BI4" s="443" t="s">
        <v>40</v>
      </c>
      <c r="BJ4" s="443" t="s">
        <v>41</v>
      </c>
      <c r="BK4" s="443" t="s">
        <v>42</v>
      </c>
      <c r="BL4" s="443" t="s">
        <v>43</v>
      </c>
      <c r="BM4" s="443" t="s">
        <v>44</v>
      </c>
      <c r="BN4" s="443" t="s">
        <v>45</v>
      </c>
      <c r="BO4" s="443" t="s">
        <v>46</v>
      </c>
      <c r="BP4" s="443" t="s">
        <v>47</v>
      </c>
      <c r="BQ4" s="443" t="s">
        <v>48</v>
      </c>
      <c r="BR4" s="443" t="s">
        <v>49</v>
      </c>
      <c r="BS4" s="443" t="s">
        <v>50</v>
      </c>
      <c r="BT4" s="443" t="s">
        <v>51</v>
      </c>
      <c r="BU4" s="33"/>
    </row>
    <row r="5" spans="1:73" x14ac:dyDescent="0.25">
      <c r="A5" s="358"/>
      <c r="B5" s="360"/>
      <c r="C5" s="76" t="s">
        <v>52</v>
      </c>
      <c r="D5" s="360"/>
      <c r="E5" s="360"/>
      <c r="F5" s="363"/>
      <c r="G5" s="363">
        <f>695895.3-809533.3</f>
        <v>-113638</v>
      </c>
      <c r="H5" s="363"/>
      <c r="I5" s="363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W5" s="114">
        <v>571871.66</v>
      </c>
      <c r="X5" s="116" t="s">
        <v>127</v>
      </c>
      <c r="Y5" s="93"/>
      <c r="AA5" s="32">
        <v>1</v>
      </c>
      <c r="AB5" s="76" t="s">
        <v>74</v>
      </c>
      <c r="AC5" s="360"/>
      <c r="AD5" s="360"/>
      <c r="AE5" s="363"/>
      <c r="AF5" s="77" t="e">
        <f>#REF!</f>
        <v>#REF!</v>
      </c>
      <c r="AG5" s="363"/>
      <c r="AH5" s="363"/>
      <c r="AI5" s="363"/>
      <c r="AJ5" s="363" t="str">
        <f>AB5</f>
        <v>Остаток/ перерасход за 2020 год</v>
      </c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3"/>
      <c r="AY5" s="32">
        <v>1</v>
      </c>
      <c r="AZ5" s="78" t="s">
        <v>209</v>
      </c>
      <c r="BA5" s="360"/>
      <c r="BB5" s="215"/>
      <c r="BC5" s="216"/>
      <c r="BD5" s="216"/>
      <c r="BE5" s="260">
        <f>'[7]К. Беляева 40Д'!$D$91</f>
        <v>-374639.73</v>
      </c>
      <c r="BF5" s="216"/>
      <c r="BG5" s="216"/>
      <c r="BH5" s="216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33"/>
    </row>
    <row r="6" spans="1:73" ht="26.25" customHeight="1" x14ac:dyDescent="0.25">
      <c r="A6" s="358"/>
      <c r="B6" s="360"/>
      <c r="C6" s="76"/>
      <c r="D6" s="360"/>
      <c r="E6" s="360"/>
      <c r="F6" s="363"/>
      <c r="G6" s="363"/>
      <c r="H6" s="363"/>
      <c r="I6" s="363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W6" s="114"/>
      <c r="X6" s="116"/>
      <c r="Y6" s="93"/>
      <c r="AA6" s="32">
        <v>2</v>
      </c>
      <c r="AB6" s="76" t="s">
        <v>129</v>
      </c>
      <c r="AC6" s="360"/>
      <c r="AD6" s="360"/>
      <c r="AE6" s="363"/>
      <c r="AF6" s="77">
        <f>'МКД К.Беляева 40 Д'!E17</f>
        <v>1054570</v>
      </c>
      <c r="AG6" s="363"/>
      <c r="AH6" s="363"/>
      <c r="AI6" s="363"/>
      <c r="AJ6" s="363" t="str">
        <f>AB6</f>
        <v>План поступления за 2021 год без учета  неплатежей</v>
      </c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3"/>
      <c r="AY6" s="32">
        <v>2</v>
      </c>
      <c r="AZ6" s="148" t="s">
        <v>317</v>
      </c>
      <c r="BA6" s="360"/>
      <c r="BB6" s="215"/>
      <c r="BC6" s="216"/>
      <c r="BD6" s="216"/>
      <c r="BE6" s="260">
        <f>'[3]2025'!$G$97</f>
        <v>89200</v>
      </c>
      <c r="BF6" s="216"/>
      <c r="BG6" s="216"/>
      <c r="BH6" s="216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33"/>
    </row>
    <row r="7" spans="1:73" ht="23.25" customHeight="1" x14ac:dyDescent="0.25">
      <c r="A7" s="358"/>
      <c r="B7" s="360"/>
      <c r="C7" s="76"/>
      <c r="D7" s="360"/>
      <c r="E7" s="360"/>
      <c r="F7" s="363"/>
      <c r="G7" s="363"/>
      <c r="H7" s="363"/>
      <c r="I7" s="363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W7" s="114"/>
      <c r="X7" s="116"/>
      <c r="Y7" s="93"/>
      <c r="AA7" s="32"/>
      <c r="AB7" s="76"/>
      <c r="AC7" s="360"/>
      <c r="AD7" s="360"/>
      <c r="AE7" s="363"/>
      <c r="AF7" s="77"/>
      <c r="AG7" s="363"/>
      <c r="AH7" s="363"/>
      <c r="AI7" s="363"/>
      <c r="AJ7" s="363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3"/>
      <c r="AY7" s="32"/>
      <c r="AZ7" s="229" t="s">
        <v>314</v>
      </c>
      <c r="BA7" s="360"/>
      <c r="BB7" s="215"/>
      <c r="BC7" s="216"/>
      <c r="BD7" s="216"/>
      <c r="BE7" s="260">
        <f>'МКД К.Беляева 40 Д'!E31</f>
        <v>664736.04</v>
      </c>
      <c r="BF7" s="216"/>
      <c r="BG7" s="216"/>
      <c r="BH7" s="216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33"/>
    </row>
    <row r="8" spans="1:73" ht="27.6" x14ac:dyDescent="0.25">
      <c r="A8" s="66">
        <v>3</v>
      </c>
      <c r="B8" s="80"/>
      <c r="C8" s="81" t="s">
        <v>34</v>
      </c>
      <c r="D8" s="66"/>
      <c r="E8" s="82">
        <f>G8</f>
        <v>270000</v>
      </c>
      <c r="F8" s="83"/>
      <c r="G8" s="84">
        <v>270000</v>
      </c>
      <c r="H8" s="84">
        <f>300000/2</f>
        <v>150000</v>
      </c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80"/>
      <c r="W8" s="68" t="e">
        <f>#REF!+#REF!</f>
        <v>#REF!</v>
      </c>
      <c r="X8" s="121"/>
      <c r="Y8" s="95" t="e">
        <f>W8-G8</f>
        <v>#REF!</v>
      </c>
      <c r="AA8" s="32">
        <v>5</v>
      </c>
      <c r="AB8" s="85" t="s">
        <v>84</v>
      </c>
      <c r="AC8" s="29" t="s">
        <v>26</v>
      </c>
      <c r="AD8" s="29">
        <v>6000</v>
      </c>
      <c r="AE8" s="30">
        <v>10</v>
      </c>
      <c r="AF8" s="36">
        <f>AD8*AE8</f>
        <v>60000</v>
      </c>
      <c r="AG8" s="36"/>
      <c r="AH8" s="31"/>
      <c r="AI8" s="31"/>
      <c r="AJ8" s="31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33">
        <v>60000</v>
      </c>
      <c r="AY8" s="32">
        <v>5</v>
      </c>
      <c r="AZ8" s="229" t="s">
        <v>316</v>
      </c>
      <c r="BA8" s="32"/>
      <c r="BB8" s="217"/>
      <c r="BC8" s="217"/>
      <c r="BD8" s="219"/>
      <c r="BE8" s="260">
        <v>70000</v>
      </c>
      <c r="BF8" s="212"/>
      <c r="BG8" s="212"/>
      <c r="BH8" s="212"/>
      <c r="BI8" s="212"/>
      <c r="BJ8" s="212"/>
      <c r="BK8" s="212"/>
      <c r="BL8" s="212"/>
      <c r="BM8" s="212"/>
      <c r="BN8" s="150"/>
      <c r="BO8" s="150"/>
      <c r="BP8" s="150"/>
      <c r="BQ8" s="212"/>
      <c r="BR8" s="212"/>
      <c r="BS8" s="212"/>
      <c r="BT8" s="212"/>
      <c r="BU8" s="33">
        <v>60000</v>
      </c>
    </row>
    <row r="9" spans="1:73" ht="27.6" x14ac:dyDescent="0.25">
      <c r="A9" s="32" t="s">
        <v>55</v>
      </c>
      <c r="C9" s="86" t="s">
        <v>35</v>
      </c>
      <c r="D9" s="32" t="s">
        <v>126</v>
      </c>
      <c r="E9" s="79">
        <v>2083.3000000000002</v>
      </c>
      <c r="F9" s="30">
        <v>60</v>
      </c>
      <c r="G9" s="36">
        <v>125000</v>
      </c>
      <c r="H9" s="31">
        <f>F9</f>
        <v>60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80"/>
      <c r="W9" s="68">
        <v>0</v>
      </c>
      <c r="X9" s="121"/>
      <c r="Y9" s="95"/>
      <c r="AA9" s="9">
        <v>6</v>
      </c>
      <c r="AB9" s="72" t="s">
        <v>105</v>
      </c>
      <c r="AC9" s="29" t="s">
        <v>26</v>
      </c>
      <c r="AD9" s="13">
        <f>AG9/AE9</f>
        <v>6480</v>
      </c>
      <c r="AE9" s="29">
        <v>4</v>
      </c>
      <c r="AF9" s="32">
        <f>AD9*AE9</f>
        <v>25920</v>
      </c>
      <c r="AG9" s="36">
        <f>13920+12000</f>
        <v>25920</v>
      </c>
      <c r="AH9" s="31"/>
      <c r="AI9" s="31"/>
      <c r="AJ9" s="31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33">
        <f>AF9</f>
        <v>25920</v>
      </c>
      <c r="AY9" s="32">
        <v>7</v>
      </c>
      <c r="AZ9" s="229" t="s">
        <v>205</v>
      </c>
      <c r="BA9" s="32"/>
      <c r="BB9" s="218"/>
      <c r="BC9" s="217"/>
      <c r="BD9" s="218"/>
      <c r="BE9" s="260">
        <v>17200</v>
      </c>
      <c r="BF9" s="212"/>
      <c r="BG9" s="212"/>
      <c r="BH9" s="212"/>
      <c r="BI9" s="212"/>
      <c r="BJ9" s="212"/>
      <c r="BK9" s="212"/>
      <c r="BL9" s="212"/>
      <c r="BM9" s="212"/>
      <c r="BN9" s="150"/>
      <c r="BO9" s="150"/>
      <c r="BP9" s="150"/>
      <c r="BQ9" s="212"/>
      <c r="BR9" s="212"/>
      <c r="BS9" s="212"/>
      <c r="BT9" s="212"/>
      <c r="BU9" s="33" t="e">
        <f>#REF!</f>
        <v>#REF!</v>
      </c>
    </row>
    <row r="10" spans="1:73" ht="19.95" customHeight="1" x14ac:dyDescent="0.25">
      <c r="A10" s="32"/>
      <c r="C10" s="86"/>
      <c r="D10" s="32"/>
      <c r="E10" s="79"/>
      <c r="F10" s="30"/>
      <c r="G10" s="36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80"/>
      <c r="W10" s="68"/>
      <c r="X10" s="121"/>
      <c r="Y10" s="95"/>
      <c r="AA10" s="9"/>
      <c r="AB10" s="72"/>
      <c r="AC10" s="29"/>
      <c r="AD10" s="13"/>
      <c r="AE10" s="29"/>
      <c r="AF10" s="128"/>
      <c r="AG10" s="36"/>
      <c r="AH10" s="31"/>
      <c r="AI10" s="31"/>
      <c r="AJ10" s="31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33"/>
      <c r="AY10" s="32"/>
      <c r="AZ10" s="78" t="s">
        <v>203</v>
      </c>
      <c r="BA10" s="230"/>
      <c r="BB10" s="230"/>
      <c r="BC10" s="230" t="s">
        <v>204</v>
      </c>
      <c r="BD10" s="35">
        <v>343980</v>
      </c>
      <c r="BE10" s="260"/>
      <c r="BF10" s="230"/>
      <c r="BG10" s="229"/>
      <c r="BH10" s="35">
        <v>343980</v>
      </c>
      <c r="BI10" s="229"/>
      <c r="BJ10" s="230"/>
      <c r="BK10" s="229"/>
      <c r="BL10" s="229"/>
      <c r="BM10" s="255"/>
      <c r="BN10" s="255"/>
      <c r="BO10" s="229"/>
      <c r="BP10" s="230"/>
      <c r="BQ10" s="230"/>
      <c r="BR10" s="212"/>
      <c r="BS10" s="212"/>
      <c r="BT10" s="212"/>
      <c r="BU10" s="33"/>
    </row>
    <row r="11" spans="1:73" ht="34.5" customHeight="1" x14ac:dyDescent="0.3">
      <c r="A11" s="32"/>
      <c r="C11" s="86"/>
      <c r="D11" s="32"/>
      <c r="E11" s="79"/>
      <c r="F11" s="30"/>
      <c r="G11" s="36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80"/>
      <c r="W11" s="68"/>
      <c r="X11" s="121"/>
      <c r="Y11" s="95"/>
      <c r="AA11" s="9"/>
      <c r="AB11" s="72"/>
      <c r="AC11" s="29"/>
      <c r="AD11" s="13"/>
      <c r="AE11" s="29"/>
      <c r="AF11" s="128"/>
      <c r="AG11" s="36"/>
      <c r="AH11" s="31"/>
      <c r="AI11" s="31"/>
      <c r="AJ11" s="31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33"/>
      <c r="AY11" s="32"/>
      <c r="AZ11" s="148" t="s">
        <v>199</v>
      </c>
      <c r="BA11" s="1"/>
      <c r="BB11" s="251"/>
      <c r="BC11" s="1" t="s">
        <v>195</v>
      </c>
      <c r="BD11" s="251">
        <v>105883</v>
      </c>
      <c r="BE11" s="260">
        <v>105883</v>
      </c>
      <c r="BF11" s="269"/>
      <c r="BG11" s="269"/>
      <c r="BH11" s="269"/>
      <c r="BI11" s="269"/>
      <c r="BJ11" s="269"/>
      <c r="BK11" s="253"/>
      <c r="BL11" s="254"/>
      <c r="BM11" s="250"/>
      <c r="BN11" s="250"/>
      <c r="BO11" s="269"/>
      <c r="BP11" s="269"/>
      <c r="BQ11" s="269"/>
      <c r="BR11" s="212"/>
      <c r="BS11" s="212"/>
      <c r="BT11" s="212"/>
      <c r="BU11" s="33"/>
    </row>
    <row r="12" spans="1:73" ht="17.25" customHeight="1" x14ac:dyDescent="0.25">
      <c r="A12" s="32"/>
      <c r="C12" s="87"/>
      <c r="D12" s="29"/>
      <c r="E12" s="29"/>
      <c r="F12" s="30"/>
      <c r="G12" s="36"/>
      <c r="H12" s="36"/>
      <c r="I12" s="31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W12" s="33"/>
      <c r="X12" s="122"/>
      <c r="Y12" s="94"/>
      <c r="AA12" s="32"/>
      <c r="AB12" s="78"/>
      <c r="AC12" s="32"/>
      <c r="AD12" s="36"/>
      <c r="AE12" s="32"/>
      <c r="AF12" s="53"/>
      <c r="AG12" s="36"/>
      <c r="AH12" s="31"/>
      <c r="AI12" s="31"/>
      <c r="AJ12" s="31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31"/>
      <c r="AY12" s="32"/>
      <c r="AZ12" s="229" t="s">
        <v>184</v>
      </c>
      <c r="BA12" s="32"/>
      <c r="BB12" s="218"/>
      <c r="BC12" s="217" t="s">
        <v>186</v>
      </c>
      <c r="BD12" s="218"/>
      <c r="BE12" s="260">
        <v>310000</v>
      </c>
      <c r="BF12" s="212"/>
      <c r="BG12" s="212"/>
      <c r="BH12" s="260"/>
      <c r="BI12" s="213"/>
      <c r="BJ12" s="213"/>
      <c r="BK12" s="213"/>
      <c r="BL12" s="213"/>
      <c r="BM12" s="149"/>
      <c r="BN12" s="149"/>
      <c r="BO12" s="149"/>
      <c r="BP12" s="33"/>
      <c r="BQ12" s="213"/>
      <c r="BR12" s="213"/>
      <c r="BS12" s="213"/>
      <c r="BT12" s="213"/>
      <c r="BU12" s="33"/>
    </row>
    <row r="13" spans="1:73" ht="18" customHeight="1" x14ac:dyDescent="0.25">
      <c r="A13" s="32"/>
      <c r="C13" s="87"/>
      <c r="D13" s="29"/>
      <c r="E13" s="29"/>
      <c r="F13" s="30"/>
      <c r="G13" s="36"/>
      <c r="H13" s="36"/>
      <c r="I13" s="31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W13" s="33"/>
      <c r="X13" s="122"/>
      <c r="Y13" s="94"/>
      <c r="AA13" s="32"/>
      <c r="AB13" s="78"/>
      <c r="AC13" s="32"/>
      <c r="AD13" s="36"/>
      <c r="AE13" s="32"/>
      <c r="AF13" s="53"/>
      <c r="AG13" s="36"/>
      <c r="AH13" s="31"/>
      <c r="AI13" s="31"/>
      <c r="AJ13" s="31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31"/>
      <c r="AY13" s="32"/>
      <c r="AZ13" s="88" t="s">
        <v>53</v>
      </c>
      <c r="BA13" s="66"/>
      <c r="BB13" s="214"/>
      <c r="BC13" s="220"/>
      <c r="BD13" s="222"/>
      <c r="BE13" s="260">
        <f>SUM(BE8:BE12)</f>
        <v>503083</v>
      </c>
      <c r="BF13" s="214"/>
      <c r="BG13" s="214"/>
      <c r="BH13" s="214"/>
      <c r="BI13" s="212"/>
      <c r="BJ13" s="212"/>
      <c r="BK13" s="212"/>
      <c r="BL13" s="212"/>
      <c r="BM13" s="212"/>
      <c r="BN13" s="212"/>
      <c r="BO13" s="212"/>
      <c r="BP13" s="212"/>
      <c r="BQ13" s="212"/>
      <c r="BR13" s="212"/>
      <c r="BS13" s="212"/>
      <c r="BT13" s="212"/>
      <c r="BU13" s="33"/>
    </row>
    <row r="14" spans="1:73" ht="27.75" customHeight="1" x14ac:dyDescent="0.25">
      <c r="A14" s="9">
        <v>4</v>
      </c>
      <c r="B14" s="12"/>
      <c r="C14" s="12" t="s">
        <v>86</v>
      </c>
      <c r="D14" s="9"/>
      <c r="E14" s="32"/>
      <c r="F14" s="30"/>
      <c r="G14" s="36">
        <v>0</v>
      </c>
      <c r="H14" s="11">
        <v>0</v>
      </c>
      <c r="I14" s="11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40"/>
      <c r="V14" s="78" t="s">
        <v>125</v>
      </c>
      <c r="W14" s="33">
        <v>41715.94</v>
      </c>
      <c r="X14" s="120" t="e">
        <f>#REF!</f>
        <v>#REF!</v>
      </c>
      <c r="Y14" s="94" t="e">
        <f>W34-#REF!</f>
        <v>#REF!</v>
      </c>
      <c r="AA14" s="32">
        <v>9</v>
      </c>
      <c r="AB14" s="78" t="s">
        <v>77</v>
      </c>
      <c r="AC14" s="32" t="s">
        <v>78</v>
      </c>
      <c r="AD14" s="36">
        <f>AF14/AE14</f>
        <v>500</v>
      </c>
      <c r="AE14" s="32">
        <v>20</v>
      </c>
      <c r="AF14" s="36">
        <v>10000</v>
      </c>
      <c r="AG14" s="36"/>
      <c r="AH14" s="33"/>
      <c r="AI14" s="33"/>
      <c r="AJ14" s="33"/>
      <c r="AK14" s="31"/>
      <c r="AL14" s="31"/>
      <c r="AM14" s="31"/>
      <c r="AN14" s="31"/>
      <c r="AO14" s="98"/>
      <c r="AP14" s="98"/>
      <c r="AQ14" s="98"/>
      <c r="AR14" s="98"/>
      <c r="AS14" s="98"/>
      <c r="AT14" s="31"/>
      <c r="AU14" s="31"/>
      <c r="AV14" s="31"/>
      <c r="AW14" s="33"/>
      <c r="AY14" s="32">
        <v>9</v>
      </c>
      <c r="BD14" s="91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33"/>
    </row>
    <row r="15" spans="1:73" ht="43.5" hidden="1" customHeight="1" x14ac:dyDescent="0.25">
      <c r="A15" s="9">
        <v>5</v>
      </c>
      <c r="B15" s="12"/>
      <c r="C15" s="12" t="s">
        <v>91</v>
      </c>
      <c r="D15" s="9"/>
      <c r="E15" s="32"/>
      <c r="F15" s="30"/>
      <c r="G15" s="36">
        <v>0</v>
      </c>
      <c r="H15" s="11">
        <v>0</v>
      </c>
      <c r="I15" s="11"/>
      <c r="J15" s="11"/>
      <c r="K15" s="11"/>
      <c r="L15" s="11"/>
      <c r="M15" s="11"/>
      <c r="N15" s="11"/>
      <c r="O15" s="11"/>
      <c r="P15" s="31"/>
      <c r="Q15" s="31"/>
      <c r="R15" s="31"/>
      <c r="S15" s="11"/>
      <c r="T15" s="11"/>
      <c r="U15" s="33"/>
      <c r="V15" s="78" t="str">
        <f>V14</f>
        <v>фактические расходы</v>
      </c>
      <c r="W15" s="115">
        <f>'[4]текущий ремонт'!$F$10</f>
        <v>8864.57</v>
      </c>
      <c r="X15" s="122"/>
      <c r="Y15" s="94">
        <f>W35-G35</f>
        <v>-60000</v>
      </c>
      <c r="AA15" s="32">
        <v>8</v>
      </c>
      <c r="AB15" s="78" t="s">
        <v>79</v>
      </c>
      <c r="AC15" s="32" t="s">
        <v>26</v>
      </c>
      <c r="AD15" s="36">
        <f>AF15</f>
        <v>0</v>
      </c>
      <c r="AE15" s="32">
        <v>1</v>
      </c>
      <c r="AF15" s="36">
        <v>0</v>
      </c>
      <c r="AG15" s="36"/>
      <c r="AH15" s="31"/>
      <c r="AI15" s="31"/>
      <c r="AJ15" s="31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Y15" s="32">
        <v>10</v>
      </c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31" t="e">
        <f>#REF!</f>
        <v>#REF!</v>
      </c>
    </row>
    <row r="16" spans="1:73" ht="39" hidden="1" customHeight="1" x14ac:dyDescent="0.25">
      <c r="A16" s="9">
        <v>6</v>
      </c>
      <c r="B16" s="12"/>
      <c r="C16" s="12" t="s">
        <v>90</v>
      </c>
      <c r="D16" s="9"/>
      <c r="E16" s="32"/>
      <c r="F16" s="30"/>
      <c r="G16" s="36">
        <v>0</v>
      </c>
      <c r="H16" s="11">
        <v>0</v>
      </c>
      <c r="I16" s="11"/>
      <c r="J16" s="11"/>
      <c r="K16" s="11"/>
      <c r="L16" s="11"/>
      <c r="M16" s="11"/>
      <c r="N16" s="11"/>
      <c r="O16" s="11"/>
      <c r="P16" s="31"/>
      <c r="Q16" s="31"/>
      <c r="R16" s="31"/>
      <c r="S16" s="11"/>
      <c r="T16" s="11"/>
      <c r="U16" s="33"/>
      <c r="V16" s="78" t="str">
        <f>V15</f>
        <v>фактические расходы</v>
      </c>
      <c r="W16" s="31">
        <v>15148</v>
      </c>
      <c r="X16" s="122"/>
      <c r="Y16" s="94">
        <f>H37-W37</f>
        <v>-10000</v>
      </c>
      <c r="AA16" s="32">
        <v>9</v>
      </c>
      <c r="AB16" s="78" t="s">
        <v>80</v>
      </c>
      <c r="AC16" s="32" t="s">
        <v>28</v>
      </c>
      <c r="AD16" s="36"/>
      <c r="AE16" s="32"/>
      <c r="AF16" s="36">
        <v>0</v>
      </c>
      <c r="AG16" s="36"/>
      <c r="AH16" s="33"/>
      <c r="AI16" s="33"/>
      <c r="AJ16" s="33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3"/>
      <c r="AY16" s="32">
        <v>11</v>
      </c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31"/>
    </row>
    <row r="17" spans="1:73" ht="28.5" hidden="1" customHeight="1" x14ac:dyDescent="0.25">
      <c r="A17" s="9"/>
      <c r="B17" s="12"/>
      <c r="C17" s="12"/>
      <c r="D17" s="9"/>
      <c r="E17" s="32"/>
      <c r="F17" s="30"/>
      <c r="G17" s="36"/>
      <c r="H17" s="11"/>
      <c r="I17" s="11"/>
      <c r="J17" s="11"/>
      <c r="K17" s="11"/>
      <c r="L17" s="11"/>
      <c r="M17" s="11"/>
      <c r="N17" s="11"/>
      <c r="O17" s="11"/>
      <c r="P17" s="31"/>
      <c r="Q17" s="31"/>
      <c r="R17" s="31"/>
      <c r="S17" s="11"/>
      <c r="T17" s="11"/>
      <c r="U17" s="33"/>
      <c r="V17" s="78"/>
      <c r="W17" s="31"/>
      <c r="X17" s="122"/>
      <c r="Y17" s="94"/>
      <c r="AA17" s="32">
        <v>10</v>
      </c>
      <c r="AB17" s="12" t="s">
        <v>93</v>
      </c>
      <c r="AC17" s="32" t="s">
        <v>26</v>
      </c>
      <c r="AD17" s="36"/>
      <c r="AE17" s="32"/>
      <c r="AF17" s="36">
        <v>15000</v>
      </c>
      <c r="AG17" s="29"/>
      <c r="AH17" s="31"/>
      <c r="AI17" s="31"/>
      <c r="AJ17" s="31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31">
        <f>AF17</f>
        <v>15000</v>
      </c>
      <c r="AY17" s="32">
        <v>15</v>
      </c>
      <c r="BE17" s="261">
        <f>BE5+BE6+BE7-BE13</f>
        <v>-123786.69</v>
      </c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31"/>
    </row>
    <row r="18" spans="1:73" ht="28.5" customHeight="1" x14ac:dyDescent="0.25">
      <c r="A18" s="9"/>
      <c r="B18" s="12"/>
      <c r="C18" s="12"/>
      <c r="D18" s="9"/>
      <c r="E18" s="32"/>
      <c r="F18" s="30"/>
      <c r="G18" s="36"/>
      <c r="H18" s="11"/>
      <c r="I18" s="11"/>
      <c r="J18" s="11"/>
      <c r="K18" s="11"/>
      <c r="L18" s="11"/>
      <c r="M18" s="11"/>
      <c r="N18" s="11"/>
      <c r="O18" s="11"/>
      <c r="P18" s="31"/>
      <c r="Q18" s="31"/>
      <c r="R18" s="31"/>
      <c r="S18" s="11"/>
      <c r="T18" s="11"/>
      <c r="U18" s="33"/>
      <c r="V18" s="78"/>
      <c r="W18" s="31"/>
      <c r="X18" s="122"/>
      <c r="Y18" s="94"/>
      <c r="AA18" s="32"/>
      <c r="AB18" s="12"/>
      <c r="AC18" s="32"/>
      <c r="AD18" s="36"/>
      <c r="AE18" s="32"/>
      <c r="AF18" s="36"/>
      <c r="AG18" s="29"/>
      <c r="AH18" s="31"/>
      <c r="AI18" s="31"/>
      <c r="AJ18" s="31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31"/>
      <c r="AY18" s="32"/>
      <c r="BI18" s="74"/>
      <c r="BJ18" s="74"/>
      <c r="BK18" s="74"/>
      <c r="BQ18" s="74"/>
      <c r="BR18" s="74"/>
      <c r="BS18" s="74"/>
      <c r="BT18" s="74"/>
      <c r="BU18" s="31"/>
    </row>
    <row r="19" spans="1:73" ht="28.5" customHeight="1" x14ac:dyDescent="0.25">
      <c r="A19" s="9"/>
      <c r="B19" s="12"/>
      <c r="C19" s="12"/>
      <c r="D19" s="9"/>
      <c r="E19" s="32"/>
      <c r="F19" s="30"/>
      <c r="G19" s="36"/>
      <c r="H19" s="11"/>
      <c r="I19" s="11"/>
      <c r="J19" s="11"/>
      <c r="K19" s="11"/>
      <c r="L19" s="11"/>
      <c r="M19" s="11"/>
      <c r="N19" s="11"/>
      <c r="O19" s="11"/>
      <c r="P19" s="31"/>
      <c r="Q19" s="31"/>
      <c r="R19" s="31"/>
      <c r="S19" s="11"/>
      <c r="T19" s="11"/>
      <c r="U19" s="33"/>
      <c r="V19" s="78"/>
      <c r="W19" s="31"/>
      <c r="X19" s="122"/>
      <c r="Y19" s="94"/>
      <c r="AA19" s="32"/>
      <c r="AB19" s="12"/>
      <c r="AC19" s="32"/>
      <c r="AD19" s="36"/>
      <c r="AE19" s="32"/>
      <c r="AF19" s="36"/>
      <c r="AG19" s="29"/>
      <c r="AH19" s="31"/>
      <c r="AI19" s="31"/>
      <c r="AJ19" s="31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31"/>
      <c r="AY19" s="32"/>
      <c r="BU19" s="31"/>
    </row>
    <row r="20" spans="1:73" ht="28.5" customHeight="1" x14ac:dyDescent="0.25">
      <c r="A20" s="9"/>
      <c r="B20" s="12"/>
      <c r="C20" s="12"/>
      <c r="D20" s="9"/>
      <c r="E20" s="32"/>
      <c r="F20" s="30"/>
      <c r="G20" s="36"/>
      <c r="H20" s="11"/>
      <c r="I20" s="11"/>
      <c r="J20" s="11"/>
      <c r="K20" s="11"/>
      <c r="L20" s="11"/>
      <c r="M20" s="11"/>
      <c r="N20" s="11"/>
      <c r="O20" s="11"/>
      <c r="P20" s="31"/>
      <c r="Q20" s="31"/>
      <c r="R20" s="31"/>
      <c r="S20" s="11"/>
      <c r="T20" s="11"/>
      <c r="U20" s="33"/>
      <c r="V20" s="78"/>
      <c r="W20" s="31"/>
      <c r="X20" s="122"/>
      <c r="Y20" s="94"/>
      <c r="AA20" s="32"/>
      <c r="AB20" s="12"/>
      <c r="AC20" s="32"/>
      <c r="AD20" s="36"/>
      <c r="AE20" s="32"/>
      <c r="AF20" s="36"/>
      <c r="AG20" s="29"/>
      <c r="AH20" s="31"/>
      <c r="AI20" s="31"/>
      <c r="AJ20" s="31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31"/>
      <c r="AY20" s="32"/>
      <c r="BU20" s="31"/>
    </row>
    <row r="21" spans="1:73" ht="28.5" customHeight="1" x14ac:dyDescent="0.25">
      <c r="A21" s="9"/>
      <c r="B21" s="12"/>
      <c r="C21" s="12"/>
      <c r="D21" s="9"/>
      <c r="E21" s="32"/>
      <c r="F21" s="30"/>
      <c r="G21" s="36"/>
      <c r="H21" s="11"/>
      <c r="I21" s="11"/>
      <c r="J21" s="11"/>
      <c r="K21" s="11"/>
      <c r="L21" s="11"/>
      <c r="M21" s="11"/>
      <c r="N21" s="11"/>
      <c r="O21" s="11"/>
      <c r="P21" s="31"/>
      <c r="Q21" s="31"/>
      <c r="R21" s="31"/>
      <c r="S21" s="11"/>
      <c r="T21" s="11"/>
      <c r="U21" s="33"/>
      <c r="V21" s="78"/>
      <c r="W21" s="31"/>
      <c r="X21" s="122"/>
      <c r="Y21" s="94"/>
      <c r="AA21" s="32"/>
      <c r="AB21" s="12"/>
      <c r="AC21" s="32"/>
      <c r="AD21" s="36"/>
      <c r="AE21" s="32"/>
      <c r="AF21" s="36"/>
      <c r="AG21" s="29"/>
      <c r="AH21" s="31"/>
      <c r="AI21" s="31"/>
      <c r="AJ21" s="31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31"/>
      <c r="AY21" s="32"/>
      <c r="BU21" s="31"/>
    </row>
    <row r="22" spans="1:73" ht="28.5" customHeight="1" x14ac:dyDescent="0.25">
      <c r="A22" s="9"/>
      <c r="B22" s="12"/>
      <c r="C22" s="12"/>
      <c r="D22" s="9"/>
      <c r="E22" s="32"/>
      <c r="F22" s="30"/>
      <c r="G22" s="36"/>
      <c r="H22" s="11"/>
      <c r="I22" s="11"/>
      <c r="J22" s="11"/>
      <c r="K22" s="11"/>
      <c r="L22" s="11"/>
      <c r="M22" s="11"/>
      <c r="N22" s="11"/>
      <c r="O22" s="11"/>
      <c r="P22" s="31"/>
      <c r="Q22" s="31"/>
      <c r="R22" s="31"/>
      <c r="S22" s="11"/>
      <c r="T22" s="11"/>
      <c r="U22" s="33"/>
      <c r="V22" s="78"/>
      <c r="W22" s="31"/>
      <c r="X22" s="122"/>
      <c r="Y22" s="94"/>
      <c r="AA22" s="32"/>
      <c r="AB22" s="12"/>
      <c r="AC22" s="32"/>
      <c r="AD22" s="36"/>
      <c r="AE22" s="32"/>
      <c r="AF22" s="36"/>
      <c r="AG22" s="29"/>
      <c r="AH22" s="31"/>
      <c r="AI22" s="31"/>
      <c r="AJ22" s="31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31"/>
      <c r="AY22" s="32"/>
      <c r="BU22" s="31"/>
    </row>
    <row r="23" spans="1:73" ht="28.5" customHeight="1" x14ac:dyDescent="0.25">
      <c r="A23" s="9"/>
      <c r="B23" s="12"/>
      <c r="C23" s="12"/>
      <c r="D23" s="9"/>
      <c r="E23" s="32"/>
      <c r="F23" s="30"/>
      <c r="G23" s="36"/>
      <c r="H23" s="11"/>
      <c r="I23" s="11"/>
      <c r="J23" s="11"/>
      <c r="K23" s="11"/>
      <c r="L23" s="11"/>
      <c r="M23" s="11"/>
      <c r="N23" s="11"/>
      <c r="O23" s="11"/>
      <c r="P23" s="31"/>
      <c r="Q23" s="31"/>
      <c r="R23" s="31"/>
      <c r="S23" s="11"/>
      <c r="T23" s="11"/>
      <c r="U23" s="33"/>
      <c r="V23" s="78"/>
      <c r="W23" s="31"/>
      <c r="X23" s="122"/>
      <c r="Y23" s="94"/>
      <c r="AA23" s="32"/>
      <c r="AB23" s="12"/>
      <c r="AC23" s="32"/>
      <c r="AD23" s="36"/>
      <c r="AE23" s="32"/>
      <c r="AF23" s="36"/>
      <c r="AG23" s="29"/>
      <c r="AH23" s="31"/>
      <c r="AI23" s="31"/>
      <c r="AJ23" s="31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31"/>
      <c r="AY23" s="32"/>
      <c r="BU23" s="31"/>
    </row>
    <row r="24" spans="1:73" ht="28.5" customHeight="1" x14ac:dyDescent="0.25">
      <c r="A24" s="9"/>
      <c r="B24" s="12"/>
      <c r="C24" s="12"/>
      <c r="D24" s="9"/>
      <c r="E24" s="32"/>
      <c r="F24" s="30"/>
      <c r="G24" s="36"/>
      <c r="H24" s="11"/>
      <c r="I24" s="11"/>
      <c r="J24" s="11"/>
      <c r="K24" s="11"/>
      <c r="L24" s="11"/>
      <c r="M24" s="11"/>
      <c r="N24" s="11"/>
      <c r="O24" s="11"/>
      <c r="P24" s="31"/>
      <c r="Q24" s="31"/>
      <c r="R24" s="31"/>
      <c r="S24" s="11"/>
      <c r="T24" s="11"/>
      <c r="U24" s="33"/>
      <c r="V24" s="78"/>
      <c r="W24" s="31"/>
      <c r="X24" s="122"/>
      <c r="Y24" s="94"/>
      <c r="AA24" s="32"/>
      <c r="AB24" s="12"/>
      <c r="AC24" s="32"/>
      <c r="AD24" s="36"/>
      <c r="AE24" s="32"/>
      <c r="AF24" s="36"/>
      <c r="AG24" s="29"/>
      <c r="AH24" s="31"/>
      <c r="AI24" s="31"/>
      <c r="AJ24" s="31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31"/>
      <c r="AY24" s="32"/>
      <c r="BU24" s="31"/>
    </row>
    <row r="25" spans="1:73" ht="28.5" customHeight="1" x14ac:dyDescent="0.25">
      <c r="A25" s="9"/>
      <c r="B25" s="12"/>
      <c r="C25" s="12"/>
      <c r="D25" s="9"/>
      <c r="E25" s="32"/>
      <c r="F25" s="30"/>
      <c r="G25" s="36"/>
      <c r="H25" s="11"/>
      <c r="I25" s="11"/>
      <c r="J25" s="11"/>
      <c r="K25" s="11"/>
      <c r="L25" s="11"/>
      <c r="M25" s="11"/>
      <c r="N25" s="11"/>
      <c r="O25" s="11"/>
      <c r="P25" s="31"/>
      <c r="Q25" s="31"/>
      <c r="R25" s="31"/>
      <c r="S25" s="11"/>
      <c r="T25" s="11"/>
      <c r="U25" s="33"/>
      <c r="V25" s="78"/>
      <c r="W25" s="31"/>
      <c r="X25" s="122"/>
      <c r="Y25" s="94"/>
      <c r="AA25" s="32"/>
      <c r="AB25" s="12"/>
      <c r="AC25" s="32"/>
      <c r="AD25" s="36"/>
      <c r="AE25" s="32"/>
      <c r="AF25" s="36"/>
      <c r="AG25" s="29"/>
      <c r="AH25" s="31"/>
      <c r="AI25" s="31"/>
      <c r="AJ25" s="31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31"/>
      <c r="AY25" s="32"/>
      <c r="BU25" s="31"/>
    </row>
    <row r="26" spans="1:73" ht="28.5" customHeight="1" x14ac:dyDescent="0.25">
      <c r="A26" s="9"/>
      <c r="B26" s="12"/>
      <c r="C26" s="12"/>
      <c r="D26" s="9"/>
      <c r="E26" s="32"/>
      <c r="F26" s="30"/>
      <c r="G26" s="36"/>
      <c r="H26" s="11"/>
      <c r="I26" s="11"/>
      <c r="J26" s="11"/>
      <c r="K26" s="11"/>
      <c r="L26" s="11"/>
      <c r="M26" s="11"/>
      <c r="N26" s="11"/>
      <c r="O26" s="11"/>
      <c r="P26" s="31"/>
      <c r="Q26" s="31"/>
      <c r="R26" s="31"/>
      <c r="S26" s="11"/>
      <c r="T26" s="11"/>
      <c r="U26" s="33"/>
      <c r="V26" s="78"/>
      <c r="W26" s="31"/>
      <c r="X26" s="122"/>
      <c r="Y26" s="94"/>
      <c r="AA26" s="32"/>
      <c r="AB26" s="12"/>
      <c r="AC26" s="32"/>
      <c r="AD26" s="36"/>
      <c r="AE26" s="32"/>
      <c r="AF26" s="36"/>
      <c r="AG26" s="29"/>
      <c r="AH26" s="31"/>
      <c r="AI26" s="31"/>
      <c r="AJ26" s="31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31"/>
      <c r="AY26" s="32"/>
      <c r="BU26" s="31"/>
    </row>
    <row r="27" spans="1:73" ht="99.75" customHeight="1" x14ac:dyDescent="0.25">
      <c r="A27" s="9"/>
      <c r="B27" s="12"/>
      <c r="C27" s="12"/>
      <c r="D27" s="9"/>
      <c r="E27" s="32"/>
      <c r="F27" s="30"/>
      <c r="G27" s="36"/>
      <c r="H27" s="11"/>
      <c r="I27" s="11"/>
      <c r="J27" s="11"/>
      <c r="K27" s="11"/>
      <c r="L27" s="11"/>
      <c r="M27" s="11"/>
      <c r="N27" s="11"/>
      <c r="O27" s="11"/>
      <c r="P27" s="31"/>
      <c r="Q27" s="31"/>
      <c r="R27" s="31"/>
      <c r="S27" s="11"/>
      <c r="T27" s="11"/>
      <c r="U27" s="33"/>
      <c r="V27" s="78"/>
      <c r="W27" s="31"/>
      <c r="X27" s="122"/>
      <c r="Y27" s="94"/>
      <c r="AA27" s="32"/>
      <c r="AB27" s="12"/>
      <c r="AC27" s="32"/>
      <c r="AD27" s="36"/>
      <c r="AE27" s="32"/>
      <c r="AF27" s="36"/>
      <c r="AG27" s="29"/>
      <c r="AH27" s="31"/>
      <c r="AI27" s="31"/>
      <c r="AJ27" s="31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31"/>
      <c r="AY27" s="32"/>
      <c r="BU27" s="33">
        <v>0</v>
      </c>
    </row>
    <row r="28" spans="1:73" ht="21" customHeight="1" x14ac:dyDescent="0.25">
      <c r="A28" s="9"/>
      <c r="B28" s="12"/>
      <c r="C28" s="12"/>
      <c r="D28" s="9"/>
      <c r="E28" s="32"/>
      <c r="F28" s="30"/>
      <c r="G28" s="36"/>
      <c r="H28" s="11"/>
      <c r="I28" s="11"/>
      <c r="J28" s="11"/>
      <c r="K28" s="11"/>
      <c r="L28" s="11"/>
      <c r="M28" s="11"/>
      <c r="N28" s="11"/>
      <c r="O28" s="11"/>
      <c r="P28" s="31"/>
      <c r="Q28" s="31"/>
      <c r="R28" s="31"/>
      <c r="S28" s="11"/>
      <c r="T28" s="11"/>
      <c r="U28" s="33"/>
      <c r="V28" s="78"/>
      <c r="W28" s="31"/>
      <c r="X28" s="122"/>
      <c r="Y28" s="94"/>
      <c r="AA28" s="32"/>
      <c r="AB28" s="12"/>
      <c r="AC28" s="32"/>
      <c r="AD28" s="36"/>
      <c r="AE28" s="32"/>
      <c r="AF28" s="36"/>
      <c r="AG28" s="29"/>
      <c r="AH28" s="31"/>
      <c r="AI28" s="31"/>
      <c r="AJ28" s="31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31"/>
      <c r="AY28" s="32"/>
      <c r="BU28" s="31" t="e">
        <f>#REF!</f>
        <v>#REF!</v>
      </c>
    </row>
    <row r="29" spans="1:73" ht="27" customHeight="1" x14ac:dyDescent="0.25">
      <c r="A29" s="9">
        <v>7</v>
      </c>
      <c r="B29" s="12"/>
      <c r="C29" s="12" t="s">
        <v>95</v>
      </c>
      <c r="D29" s="9"/>
      <c r="E29" s="32"/>
      <c r="F29" s="30"/>
      <c r="G29" s="36">
        <v>0</v>
      </c>
      <c r="H29" s="11">
        <v>0</v>
      </c>
      <c r="I29" s="11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40"/>
      <c r="V29" s="78" t="str">
        <f>V16</f>
        <v>фактические расходы</v>
      </c>
      <c r="W29" s="115">
        <v>19197.28</v>
      </c>
      <c r="X29" s="122" t="e">
        <f>#REF!</f>
        <v>#REF!</v>
      </c>
      <c r="Y29" s="94">
        <f>H38-W38</f>
        <v>-42500</v>
      </c>
      <c r="AA29" s="32">
        <v>11</v>
      </c>
      <c r="AB29" s="78" t="s">
        <v>81</v>
      </c>
      <c r="AC29" s="32" t="s">
        <v>83</v>
      </c>
      <c r="AD29" s="36">
        <f>AF29/AE29</f>
        <v>471</v>
      </c>
      <c r="AE29" s="32">
        <v>85</v>
      </c>
      <c r="AF29" s="36">
        <v>40000</v>
      </c>
      <c r="AG29" s="36"/>
      <c r="AH29" s="31"/>
      <c r="AI29" s="31"/>
      <c r="AJ29" s="31"/>
      <c r="AK29" s="31"/>
      <c r="AL29" s="31"/>
      <c r="AM29" s="31"/>
      <c r="AN29" s="31"/>
      <c r="AO29" s="98"/>
      <c r="AP29" s="98"/>
      <c r="AQ29" s="98"/>
      <c r="AR29" s="31"/>
      <c r="AS29" s="31"/>
      <c r="AT29" s="31"/>
      <c r="AU29" s="31"/>
      <c r="AV29" s="31"/>
      <c r="AW29" s="33">
        <v>0</v>
      </c>
      <c r="AY29" s="32">
        <v>10</v>
      </c>
      <c r="BU29" s="33">
        <v>15000</v>
      </c>
    </row>
    <row r="30" spans="1:73" ht="20.25" customHeight="1" x14ac:dyDescent="0.25">
      <c r="A30" s="9"/>
      <c r="B30" s="12"/>
      <c r="C30" s="12"/>
      <c r="D30" s="9"/>
      <c r="E30" s="32"/>
      <c r="F30" s="30"/>
      <c r="G30" s="36"/>
      <c r="H30" s="11"/>
      <c r="I30" s="11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40"/>
      <c r="V30" s="78"/>
      <c r="W30" s="115"/>
      <c r="X30" s="122"/>
      <c r="Y30" s="94"/>
      <c r="AA30" s="32">
        <v>12</v>
      </c>
      <c r="AB30" s="78" t="s">
        <v>128</v>
      </c>
      <c r="AC30" s="32" t="s">
        <v>26</v>
      </c>
      <c r="AD30" s="36">
        <v>37500</v>
      </c>
      <c r="AE30" s="32">
        <v>1</v>
      </c>
      <c r="AF30" s="36">
        <v>37500</v>
      </c>
      <c r="AG30" s="53"/>
      <c r="AH30" s="31"/>
      <c r="AI30" s="31"/>
      <c r="AJ30" s="31"/>
      <c r="AK30" s="31"/>
      <c r="AL30" s="31"/>
      <c r="AM30" s="31"/>
      <c r="AN30" s="31"/>
      <c r="AO30" s="98"/>
      <c r="AP30" s="31"/>
      <c r="AQ30" s="31"/>
      <c r="AR30" s="31"/>
      <c r="AS30" s="31"/>
      <c r="AT30" s="31"/>
      <c r="AU30" s="31"/>
      <c r="AV30" s="31"/>
      <c r="AW30" s="31">
        <f>AF30</f>
        <v>37500</v>
      </c>
      <c r="AY30" s="32">
        <v>11</v>
      </c>
      <c r="BU30" s="33" t="e">
        <f>#REF!</f>
        <v>#REF!</v>
      </c>
    </row>
    <row r="31" spans="1:73" x14ac:dyDescent="0.25">
      <c r="A31" s="9"/>
      <c r="B31" s="12"/>
      <c r="C31" s="12"/>
      <c r="D31" s="9"/>
      <c r="E31" s="32"/>
      <c r="F31" s="30"/>
      <c r="G31" s="36"/>
      <c r="H31" s="11"/>
      <c r="I31" s="11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40"/>
      <c r="V31" s="78"/>
      <c r="W31" s="115"/>
      <c r="X31" s="122"/>
      <c r="Y31" s="94"/>
      <c r="AA31" s="32">
        <v>13</v>
      </c>
      <c r="AB31" s="78" t="s">
        <v>132</v>
      </c>
      <c r="AC31" s="32"/>
      <c r="AD31" s="36"/>
      <c r="AE31" s="32"/>
      <c r="AF31" s="36"/>
      <c r="AG31" s="53"/>
      <c r="AH31" s="31"/>
      <c r="AI31" s="31"/>
      <c r="AJ31" s="31"/>
      <c r="AK31" s="31"/>
      <c r="AL31" s="31"/>
      <c r="AM31" s="31"/>
      <c r="AN31" s="31"/>
      <c r="AO31" s="98"/>
      <c r="AP31" s="31"/>
      <c r="AQ31" s="31"/>
      <c r="AR31" s="31"/>
      <c r="AS31" s="31"/>
      <c r="AT31" s="31"/>
      <c r="AU31" s="31"/>
      <c r="AV31" s="31"/>
      <c r="AW31" s="33">
        <v>15000</v>
      </c>
      <c r="AY31" s="33">
        <v>12</v>
      </c>
      <c r="BU31" s="31">
        <v>38400</v>
      </c>
    </row>
    <row r="32" spans="1:73" ht="16.5" customHeight="1" x14ac:dyDescent="0.25">
      <c r="A32" s="9"/>
      <c r="B32" s="12"/>
      <c r="C32" s="12"/>
      <c r="D32" s="9"/>
      <c r="E32" s="32"/>
      <c r="F32" s="30"/>
      <c r="G32" s="36"/>
      <c r="H32" s="11"/>
      <c r="I32" s="11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40"/>
      <c r="V32" s="78"/>
      <c r="W32" s="115"/>
      <c r="X32" s="122"/>
      <c r="Y32" s="94"/>
      <c r="AA32" s="32">
        <v>14</v>
      </c>
      <c r="AB32" s="78" t="s">
        <v>133</v>
      </c>
      <c r="AC32" s="32"/>
      <c r="AD32" s="36"/>
      <c r="AE32" s="32"/>
      <c r="AF32" s="36"/>
      <c r="AG32" s="53"/>
      <c r="AH32" s="31"/>
      <c r="AI32" s="31"/>
      <c r="AJ32" s="31"/>
      <c r="AK32" s="31"/>
      <c r="AL32" s="31"/>
      <c r="AM32" s="31"/>
      <c r="AN32" s="31"/>
      <c r="AO32" s="98"/>
      <c r="AP32" s="31"/>
      <c r="AQ32" s="31"/>
      <c r="AR32" s="31"/>
      <c r="AS32" s="31"/>
      <c r="AT32" s="31"/>
      <c r="AU32" s="31"/>
      <c r="AV32" s="31"/>
      <c r="AW32" s="33" t="e">
        <f>#REF!</f>
        <v>#REF!</v>
      </c>
      <c r="BU32" s="33" t="e">
        <f>SUM(BU8:BU31)</f>
        <v>#REF!</v>
      </c>
    </row>
    <row r="33" spans="1:73" x14ac:dyDescent="0.25">
      <c r="A33" s="9"/>
      <c r="B33" s="12"/>
      <c r="C33" s="12"/>
      <c r="D33" s="9"/>
      <c r="E33" s="32"/>
      <c r="F33" s="30"/>
      <c r="G33" s="36"/>
      <c r="H33" s="11"/>
      <c r="I33" s="11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40"/>
      <c r="V33" s="78"/>
      <c r="W33" s="115"/>
      <c r="X33" s="122"/>
      <c r="Y33" s="94"/>
      <c r="AA33" s="32">
        <v>15</v>
      </c>
      <c r="AB33" s="12" t="s">
        <v>38</v>
      </c>
      <c r="AC33" s="32" t="s">
        <v>26</v>
      </c>
      <c r="AD33" s="36">
        <f>AF33</f>
        <v>28400</v>
      </c>
      <c r="AE33" s="32">
        <v>1</v>
      </c>
      <c r="AF33" s="36">
        <v>28400</v>
      </c>
      <c r="AG33" s="53"/>
      <c r="AH33" s="31"/>
      <c r="AI33" s="31"/>
      <c r="AJ33" s="31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31">
        <v>38400</v>
      </c>
      <c r="BU33" s="31" t="e">
        <f>#REF!+#REF!-BU32</f>
        <v>#REF!</v>
      </c>
    </row>
    <row r="34" spans="1:73" ht="16.5" customHeight="1" x14ac:dyDescent="0.25">
      <c r="A34" s="9">
        <v>8</v>
      </c>
      <c r="B34" s="12"/>
      <c r="C34" s="12" t="s">
        <v>92</v>
      </c>
      <c r="D34" s="9"/>
      <c r="E34" s="32"/>
      <c r="F34" s="30"/>
      <c r="G34" s="36">
        <v>0</v>
      </c>
      <c r="H34" s="11">
        <v>0</v>
      </c>
      <c r="I34" s="11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40"/>
      <c r="V34" s="78" t="str">
        <f>V29</f>
        <v>фактические расходы</v>
      </c>
      <c r="W34" s="31">
        <f>(3720+2000)*10</f>
        <v>57200</v>
      </c>
      <c r="X34" s="122" t="e">
        <f>X29</f>
        <v>#REF!</v>
      </c>
      <c r="Y34" s="94" t="e">
        <f>#REF!-#REF!</f>
        <v>#REF!</v>
      </c>
      <c r="AA34" s="32">
        <v>16</v>
      </c>
      <c r="AB34" s="88" t="s">
        <v>53</v>
      </c>
      <c r="AC34" s="66"/>
      <c r="AD34" s="64"/>
      <c r="AE34" s="66"/>
      <c r="AF34" s="84" t="e">
        <f>#REF!+#REF!+#REF!+#REF!+AF14+AF15+AF29+AF8+AF30+AF33+AF17+AF9</f>
        <v>#REF!</v>
      </c>
      <c r="AG34" s="89"/>
      <c r="AH34" s="64"/>
      <c r="AI34" s="64"/>
      <c r="AJ34" s="64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3" t="e">
        <f>SUM(AW8:AW33)</f>
        <v>#REF!</v>
      </c>
    </row>
    <row r="35" spans="1:73" ht="15.75" customHeight="1" x14ac:dyDescent="0.25">
      <c r="A35" s="32">
        <v>4</v>
      </c>
      <c r="C35" s="78" t="s">
        <v>37</v>
      </c>
      <c r="D35" s="29"/>
      <c r="E35" s="31" t="e">
        <f>#REF!</f>
        <v>#REF!</v>
      </c>
      <c r="F35" s="30">
        <v>1</v>
      </c>
      <c r="G35" s="29">
        <v>60000</v>
      </c>
      <c r="H35" s="29"/>
      <c r="I35" s="31">
        <v>1</v>
      </c>
      <c r="J35" s="31"/>
      <c r="K35" s="31"/>
      <c r="L35" s="31"/>
      <c r="M35" s="31"/>
      <c r="N35" s="31"/>
      <c r="O35" s="39"/>
      <c r="P35" s="39"/>
      <c r="Q35" s="39"/>
      <c r="R35" s="31"/>
      <c r="S35" s="31"/>
      <c r="T35" s="31"/>
      <c r="U35" s="31"/>
      <c r="W35" s="33">
        <v>0</v>
      </c>
      <c r="X35" s="129"/>
      <c r="Y35" s="94" t="e">
        <f>#REF!-#REF!</f>
        <v>#REF!</v>
      </c>
      <c r="AA35" s="32">
        <v>17</v>
      </c>
      <c r="AB35" s="33" t="s">
        <v>54</v>
      </c>
      <c r="AC35" s="33"/>
      <c r="AD35" s="33"/>
      <c r="AE35" s="32"/>
      <c r="AF35" s="36" t="e">
        <f>AF5+AF6-AF34</f>
        <v>#REF!</v>
      </c>
      <c r="AG35" s="36"/>
      <c r="AH35" s="33"/>
      <c r="AI35" s="33"/>
      <c r="AJ35" s="33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 t="e">
        <f>AF5+AF6-AW34</f>
        <v>#REF!</v>
      </c>
    </row>
    <row r="36" spans="1:73" ht="28.05" hidden="1" customHeight="1" x14ac:dyDescent="0.25">
      <c r="A36" s="32">
        <v>7</v>
      </c>
      <c r="C36" s="78" t="s">
        <v>87</v>
      </c>
      <c r="D36" s="29"/>
      <c r="E36" s="31"/>
      <c r="F36" s="30"/>
      <c r="G36" s="29"/>
      <c r="H36" s="29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9"/>
      <c r="V36" s="71" t="s">
        <v>113</v>
      </c>
      <c r="W36" s="31">
        <v>8043</v>
      </c>
      <c r="X36" s="130" t="s">
        <v>113</v>
      </c>
      <c r="Y36" s="94"/>
      <c r="AA36" s="128"/>
      <c r="AB36" s="33"/>
      <c r="AC36" s="33"/>
      <c r="AD36" s="33"/>
      <c r="AE36" s="32"/>
      <c r="AF36" s="36"/>
      <c r="AG36" s="36"/>
      <c r="AH36" s="33"/>
      <c r="AI36" s="33"/>
      <c r="AJ36" s="33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</row>
    <row r="37" spans="1:73" ht="13.95" hidden="1" customHeight="1" x14ac:dyDescent="0.25">
      <c r="A37" s="32">
        <v>5</v>
      </c>
      <c r="B37" s="78" t="s">
        <v>27</v>
      </c>
      <c r="C37" s="78" t="s">
        <v>27</v>
      </c>
      <c r="D37" s="32" t="e">
        <f>#REF!</f>
        <v>#REF!</v>
      </c>
      <c r="E37" s="32">
        <v>500</v>
      </c>
      <c r="F37" s="30">
        <v>20</v>
      </c>
      <c r="G37" s="36">
        <f t="shared" ref="G37:G38" si="0">E37*F37</f>
        <v>10000</v>
      </c>
      <c r="H37" s="36"/>
      <c r="I37" s="31">
        <v>20</v>
      </c>
      <c r="J37" s="31"/>
      <c r="K37" s="31"/>
      <c r="L37" s="31"/>
      <c r="M37" s="31"/>
      <c r="N37" s="31"/>
      <c r="O37" s="31"/>
      <c r="P37" s="31"/>
      <c r="Q37" s="39"/>
      <c r="R37" s="31"/>
      <c r="S37" s="31"/>
      <c r="T37" s="31"/>
      <c r="U37" s="31"/>
      <c r="W37" s="31">
        <f>G37</f>
        <v>10000</v>
      </c>
      <c r="X37" s="122"/>
      <c r="Y37" s="95" t="e">
        <f>#REF!-#REF!</f>
        <v>#REF!</v>
      </c>
      <c r="AB37" s="64" t="s">
        <v>54</v>
      </c>
      <c r="AC37" s="33"/>
      <c r="AD37" s="33"/>
      <c r="AE37" s="32"/>
      <c r="AF37" s="90" t="e">
        <f>AF5+AF38-AF34</f>
        <v>#REF!</v>
      </c>
      <c r="AG37" s="31"/>
      <c r="AH37" s="33"/>
      <c r="AI37" s="33"/>
      <c r="AJ37" s="33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</row>
    <row r="38" spans="1:73" ht="70.05" hidden="1" customHeight="1" x14ac:dyDescent="0.25">
      <c r="A38" s="32">
        <v>6</v>
      </c>
      <c r="B38" s="78" t="s">
        <v>31</v>
      </c>
      <c r="C38" s="78" t="str">
        <f>B38</f>
        <v>Подготовка к отопительному сезону 2019-2020гг. Сдача опрессовки, промывка теплообменников ГВС ( замена вышедших из строя затворов, шаровых кранов, манометров, термометров и прочего оборудования)</v>
      </c>
      <c r="D38" s="32" t="s">
        <v>26</v>
      </c>
      <c r="E38" s="33">
        <f>85000/2</f>
        <v>42500</v>
      </c>
      <c r="F38" s="32">
        <v>1</v>
      </c>
      <c r="G38" s="36">
        <f t="shared" si="0"/>
        <v>42500</v>
      </c>
      <c r="H38" s="36"/>
      <c r="I38" s="33">
        <v>1</v>
      </c>
      <c r="J38" s="33"/>
      <c r="K38" s="33"/>
      <c r="L38" s="33"/>
      <c r="M38" s="33"/>
      <c r="N38" s="33"/>
      <c r="O38" s="40"/>
      <c r="P38" s="40"/>
      <c r="Q38" s="40"/>
      <c r="R38" s="33"/>
      <c r="S38" s="33"/>
      <c r="T38" s="33"/>
      <c r="U38" s="33"/>
      <c r="W38" s="31">
        <f>G38</f>
        <v>42500</v>
      </c>
      <c r="X38" s="78" t="str">
        <f>'ТК МКД К.Беляева 40 Г'!V29</f>
        <v>Выполнение требований РСО</v>
      </c>
      <c r="Y38" s="127"/>
      <c r="AF38" s="91">
        <f>'МКД К.Беляева 40 Д'!E17</f>
        <v>1054569.57</v>
      </c>
      <c r="AG38" s="91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</row>
    <row r="39" spans="1:73" x14ac:dyDescent="0.25">
      <c r="AN39" s="71" t="s">
        <v>134</v>
      </c>
    </row>
    <row r="41" spans="1:73" x14ac:dyDescent="0.25">
      <c r="AN41" s="71" t="s">
        <v>135</v>
      </c>
    </row>
    <row r="42" spans="1:73" x14ac:dyDescent="0.25">
      <c r="AP42" s="71">
        <v>155200</v>
      </c>
      <c r="AQ42" s="71">
        <f>AP42/4</f>
        <v>38800</v>
      </c>
    </row>
  </sheetData>
  <mergeCells count="36">
    <mergeCell ref="AZ1:BL1"/>
    <mergeCell ref="BO1:BT1"/>
    <mergeCell ref="AY3:AY4"/>
    <mergeCell ref="AZ3:AZ4"/>
    <mergeCell ref="BA3:BA4"/>
    <mergeCell ref="BB3:BB4"/>
    <mergeCell ref="BC3:BC4"/>
    <mergeCell ref="BE3:BE4"/>
    <mergeCell ref="BF3:BF4"/>
    <mergeCell ref="BG3:BG4"/>
    <mergeCell ref="BI3:BT3"/>
    <mergeCell ref="AA3:AA4"/>
    <mergeCell ref="AB1:AN1"/>
    <mergeCell ref="AH3:AH4"/>
    <mergeCell ref="AK3:AV3"/>
    <mergeCell ref="AQ1:AV1"/>
    <mergeCell ref="AB3:AB4"/>
    <mergeCell ref="AC3:AC4"/>
    <mergeCell ref="AD3:AD4"/>
    <mergeCell ref="AE3:AE4"/>
    <mergeCell ref="AF3:AF4"/>
    <mergeCell ref="AJ3:AJ4"/>
    <mergeCell ref="AI3:AI4"/>
    <mergeCell ref="P1:U1"/>
    <mergeCell ref="G3:G4"/>
    <mergeCell ref="B2:U2"/>
    <mergeCell ref="I3:I4"/>
    <mergeCell ref="J3:U3"/>
    <mergeCell ref="W3:W4"/>
    <mergeCell ref="X3:X4"/>
    <mergeCell ref="A3:A4"/>
    <mergeCell ref="B3:B4"/>
    <mergeCell ref="D3:D4"/>
    <mergeCell ref="E3:E4"/>
    <mergeCell ref="F3:F4"/>
    <mergeCell ref="C3:C4"/>
  </mergeCells>
  <pageMargins left="0.23622047244094491" right="0.23622047244094491" top="0.74803149606299213" bottom="0.74803149606299213" header="0.31496062992125984" footer="0.31496062992125984"/>
  <pageSetup paperSize="9" scale="72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zoomScale="55" zoomScaleNormal="55" workbookViewId="0">
      <selection activeCell="F7" sqref="F7"/>
    </sheetView>
  </sheetViews>
  <sheetFormatPr defaultColWidth="8.77734375" defaultRowHeight="14.4" x14ac:dyDescent="0.3"/>
  <cols>
    <col min="1" max="1" width="64.77734375" style="299" customWidth="1"/>
    <col min="2" max="2" width="12.44140625" style="299" customWidth="1"/>
    <col min="3" max="3" width="10" style="299" customWidth="1"/>
    <col min="4" max="4" width="10.5546875" style="299" customWidth="1"/>
    <col min="5" max="5" width="15" style="299" customWidth="1"/>
    <col min="6" max="7" width="10.5546875" style="299" customWidth="1"/>
    <col min="8" max="19" width="4.5546875" style="299" customWidth="1"/>
    <col min="20" max="20" width="10.5546875" style="299" hidden="1" customWidth="1"/>
    <col min="21" max="21" width="35.21875" style="299" customWidth="1"/>
    <col min="22" max="16384" width="8.77734375" style="265"/>
  </cols>
  <sheetData>
    <row r="1" spans="1:21" ht="84" customHeight="1" x14ac:dyDescent="0.3">
      <c r="A1" s="288"/>
      <c r="B1" s="298"/>
      <c r="C1" s="298"/>
      <c r="D1" s="288"/>
      <c r="E1" s="29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585" t="s">
        <v>189</v>
      </c>
      <c r="Q1" s="586"/>
      <c r="R1" s="586"/>
      <c r="S1" s="586"/>
      <c r="T1" s="586"/>
      <c r="U1" s="586"/>
    </row>
    <row r="2" spans="1:21" ht="63" customHeight="1" x14ac:dyDescent="0.3">
      <c r="A2" s="588" t="s">
        <v>267</v>
      </c>
      <c r="B2" s="588"/>
      <c r="C2" s="588"/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</row>
    <row r="3" spans="1:21" ht="43.5" customHeight="1" x14ac:dyDescent="0.3">
      <c r="A3" s="583" t="s">
        <v>268</v>
      </c>
      <c r="B3" s="583" t="s">
        <v>19</v>
      </c>
      <c r="C3" s="583" t="s">
        <v>15</v>
      </c>
      <c r="D3" s="583" t="s">
        <v>16</v>
      </c>
      <c r="E3" s="583" t="s">
        <v>18</v>
      </c>
      <c r="F3" s="583" t="s">
        <v>17</v>
      </c>
      <c r="G3" s="583" t="s">
        <v>302</v>
      </c>
      <c r="H3" s="589" t="s">
        <v>269</v>
      </c>
      <c r="I3" s="589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90" t="s">
        <v>270</v>
      </c>
      <c r="U3" s="583" t="s">
        <v>107</v>
      </c>
    </row>
    <row r="4" spans="1:21" ht="46.95" customHeight="1" x14ac:dyDescent="0.3">
      <c r="A4" s="584"/>
      <c r="B4" s="584"/>
      <c r="C4" s="584"/>
      <c r="D4" s="584"/>
      <c r="E4" s="584"/>
      <c r="F4" s="584"/>
      <c r="G4" s="584"/>
      <c r="H4" s="344" t="s">
        <v>40</v>
      </c>
      <c r="I4" s="344" t="s">
        <v>41</v>
      </c>
      <c r="J4" s="344" t="s">
        <v>42</v>
      </c>
      <c r="K4" s="344" t="s">
        <v>43</v>
      </c>
      <c r="L4" s="344" t="s">
        <v>44</v>
      </c>
      <c r="M4" s="344" t="s">
        <v>45</v>
      </c>
      <c r="N4" s="344" t="s">
        <v>46</v>
      </c>
      <c r="O4" s="344" t="s">
        <v>47</v>
      </c>
      <c r="P4" s="344" t="s">
        <v>48</v>
      </c>
      <c r="Q4" s="344" t="s">
        <v>49</v>
      </c>
      <c r="R4" s="344" t="s">
        <v>50</v>
      </c>
      <c r="S4" s="344" t="s">
        <v>51</v>
      </c>
      <c r="T4" s="591"/>
      <c r="U4" s="584"/>
    </row>
    <row r="5" spans="1:21" x14ac:dyDescent="0.3">
      <c r="A5" s="309" t="s">
        <v>271</v>
      </c>
      <c r="B5" s="309"/>
      <c r="C5" s="309"/>
      <c r="D5" s="310"/>
      <c r="E5" s="311"/>
      <c r="F5" s="342">
        <f>[7]ШК104!$D$92</f>
        <v>223665.59</v>
      </c>
      <c r="G5" s="34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3"/>
      <c r="U5" s="314"/>
    </row>
    <row r="6" spans="1:21" ht="27.6" x14ac:dyDescent="0.3">
      <c r="A6" s="278" t="s">
        <v>317</v>
      </c>
      <c r="B6" s="309"/>
      <c r="C6" s="309"/>
      <c r="D6" s="310"/>
      <c r="E6" s="311"/>
      <c r="F6" s="343">
        <f>'[3]2025'!$O$97</f>
        <v>36500</v>
      </c>
      <c r="G6" s="343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3"/>
      <c r="U6" s="314"/>
    </row>
    <row r="7" spans="1:21" x14ac:dyDescent="0.3">
      <c r="A7" s="315" t="s">
        <v>300</v>
      </c>
      <c r="B7" s="309"/>
      <c r="C7" s="309"/>
      <c r="D7" s="316"/>
      <c r="E7" s="317"/>
      <c r="F7" s="310">
        <f>'МКД Ш.Космонавтов ,104'!I23*12</f>
        <v>531789.6</v>
      </c>
      <c r="G7" s="310"/>
      <c r="H7" s="312"/>
      <c r="I7" s="312"/>
      <c r="J7" s="312"/>
      <c r="K7" s="312"/>
      <c r="L7" s="318"/>
      <c r="M7" s="318"/>
      <c r="N7" s="318"/>
      <c r="O7" s="318"/>
      <c r="P7" s="318"/>
      <c r="Q7" s="318"/>
      <c r="R7" s="318"/>
      <c r="S7" s="318"/>
      <c r="T7" s="319"/>
      <c r="U7" s="313"/>
    </row>
    <row r="8" spans="1:21" x14ac:dyDescent="0.3">
      <c r="A8" s="315" t="s">
        <v>272</v>
      </c>
      <c r="B8" s="309" t="s">
        <v>273</v>
      </c>
      <c r="C8" s="309">
        <v>36000</v>
      </c>
      <c r="D8" s="316" t="s">
        <v>303</v>
      </c>
      <c r="E8" s="320">
        <v>36000</v>
      </c>
      <c r="F8" s="310">
        <v>36000</v>
      </c>
      <c r="G8" s="310"/>
      <c r="H8" s="312"/>
      <c r="I8" s="312"/>
      <c r="J8" s="312"/>
      <c r="K8" s="312"/>
      <c r="L8" s="318"/>
      <c r="M8" s="321"/>
      <c r="N8" s="321"/>
      <c r="O8" s="321"/>
      <c r="P8" s="318"/>
      <c r="Q8" s="318"/>
      <c r="R8" s="318"/>
      <c r="S8" s="318"/>
      <c r="T8" s="319"/>
      <c r="U8" s="313"/>
    </row>
    <row r="9" spans="1:21" ht="57.6" x14ac:dyDescent="0.3">
      <c r="A9" s="315" t="s">
        <v>304</v>
      </c>
      <c r="B9" s="309" t="s">
        <v>195</v>
      </c>
      <c r="C9" s="309">
        <v>352800</v>
      </c>
      <c r="D9" s="316" t="s">
        <v>274</v>
      </c>
      <c r="E9" s="320">
        <v>352800</v>
      </c>
      <c r="F9" s="265"/>
      <c r="G9" s="310">
        <v>352800</v>
      </c>
      <c r="H9" s="312"/>
      <c r="I9" s="312"/>
      <c r="J9" s="312"/>
      <c r="K9" s="312"/>
      <c r="L9" s="318"/>
      <c r="M9" s="321"/>
      <c r="N9" s="321"/>
      <c r="O9" s="321"/>
      <c r="P9" s="318"/>
      <c r="Q9" s="318"/>
      <c r="R9" s="318"/>
      <c r="S9" s="318"/>
      <c r="T9" s="319"/>
      <c r="U9" s="313"/>
    </row>
    <row r="10" spans="1:21" ht="28.8" x14ac:dyDescent="0.3">
      <c r="A10" s="315" t="s">
        <v>305</v>
      </c>
      <c r="B10" s="309" t="s">
        <v>188</v>
      </c>
      <c r="C10" s="309">
        <v>58000</v>
      </c>
      <c r="D10" s="309" t="s">
        <v>188</v>
      </c>
      <c r="E10" s="309">
        <v>58000</v>
      </c>
      <c r="F10" s="309">
        <v>58000</v>
      </c>
      <c r="G10" s="309"/>
      <c r="H10" s="312"/>
      <c r="I10" s="312"/>
      <c r="J10" s="312"/>
      <c r="K10" s="312"/>
      <c r="L10" s="321"/>
      <c r="M10" s="321"/>
      <c r="N10" s="321"/>
      <c r="O10" s="321"/>
      <c r="P10" s="318"/>
      <c r="Q10" s="318"/>
      <c r="R10" s="318"/>
      <c r="S10" s="318"/>
      <c r="T10" s="319"/>
      <c r="U10" s="313"/>
    </row>
    <row r="11" spans="1:21" x14ac:dyDescent="0.3">
      <c r="A11" s="315" t="s">
        <v>306</v>
      </c>
      <c r="B11" s="309" t="s">
        <v>188</v>
      </c>
      <c r="C11" s="309">
        <v>48000</v>
      </c>
      <c r="D11" s="309" t="s">
        <v>188</v>
      </c>
      <c r="E11" s="322">
        <v>48000</v>
      </c>
      <c r="F11" s="309">
        <v>48000</v>
      </c>
      <c r="G11" s="309"/>
      <c r="H11" s="312"/>
      <c r="I11" s="312"/>
      <c r="J11" s="312"/>
      <c r="K11" s="312"/>
      <c r="L11" s="321"/>
      <c r="M11" s="321"/>
      <c r="N11" s="312"/>
      <c r="O11" s="312"/>
      <c r="P11" s="318"/>
      <c r="Q11" s="318"/>
      <c r="R11" s="318"/>
      <c r="S11" s="318"/>
      <c r="T11" s="319"/>
      <c r="U11" s="313"/>
    </row>
    <row r="12" spans="1:21" ht="28.8" x14ac:dyDescent="0.3">
      <c r="A12" s="315" t="s">
        <v>307</v>
      </c>
      <c r="B12" s="309" t="s">
        <v>275</v>
      </c>
      <c r="C12" s="309">
        <v>2295.66</v>
      </c>
      <c r="D12" s="316" t="s">
        <v>276</v>
      </c>
      <c r="E12" s="320">
        <v>52800</v>
      </c>
      <c r="F12" s="310">
        <v>52800</v>
      </c>
      <c r="G12" s="310"/>
      <c r="H12" s="312"/>
      <c r="I12" s="312"/>
      <c r="J12" s="312"/>
      <c r="K12" s="321"/>
      <c r="L12" s="318"/>
      <c r="M12" s="318"/>
      <c r="N12" s="318"/>
      <c r="O12" s="318"/>
      <c r="P12" s="318"/>
      <c r="Q12" s="318"/>
      <c r="R12" s="318"/>
      <c r="S12" s="318"/>
      <c r="T12" s="319"/>
      <c r="U12" s="313"/>
    </row>
    <row r="13" spans="1:21" x14ac:dyDescent="0.3">
      <c r="A13" s="315" t="s">
        <v>277</v>
      </c>
      <c r="B13" s="309" t="s">
        <v>188</v>
      </c>
      <c r="C13" s="309">
        <v>74000</v>
      </c>
      <c r="D13" s="316" t="s">
        <v>188</v>
      </c>
      <c r="E13" s="320">
        <v>74000</v>
      </c>
      <c r="F13" s="310">
        <v>74000</v>
      </c>
      <c r="G13" s="310"/>
      <c r="H13" s="312"/>
      <c r="I13" s="312"/>
      <c r="J13" s="312"/>
      <c r="K13" s="312"/>
      <c r="L13" s="318"/>
      <c r="M13" s="318"/>
      <c r="N13" s="323"/>
      <c r="O13" s="318"/>
      <c r="P13" s="318"/>
      <c r="Q13" s="318"/>
      <c r="R13" s="318"/>
      <c r="S13" s="318"/>
      <c r="T13" s="319"/>
      <c r="U13" s="313"/>
    </row>
    <row r="14" spans="1:21" x14ac:dyDescent="0.3">
      <c r="A14" s="324" t="s">
        <v>278</v>
      </c>
      <c r="B14" s="325" t="s">
        <v>279</v>
      </c>
      <c r="C14" s="326">
        <v>97200</v>
      </c>
      <c r="D14" s="325" t="s">
        <v>279</v>
      </c>
      <c r="E14" s="326">
        <v>97200</v>
      </c>
      <c r="F14" s="327">
        <v>97200</v>
      </c>
      <c r="G14" s="327"/>
      <c r="H14" s="313"/>
      <c r="I14" s="313"/>
      <c r="J14" s="313"/>
      <c r="K14" s="313"/>
      <c r="L14" s="319"/>
      <c r="M14" s="328"/>
      <c r="N14" s="328"/>
      <c r="O14" s="328"/>
      <c r="P14" s="319"/>
      <c r="Q14" s="319"/>
      <c r="R14" s="319"/>
      <c r="S14" s="319"/>
      <c r="T14" s="319"/>
      <c r="U14" s="313"/>
    </row>
    <row r="15" spans="1:21" x14ac:dyDescent="0.3">
      <c r="A15" s="314" t="s">
        <v>280</v>
      </c>
      <c r="B15" s="327" t="s">
        <v>281</v>
      </c>
      <c r="C15" s="329">
        <v>48000</v>
      </c>
      <c r="D15" s="327" t="s">
        <v>281</v>
      </c>
      <c r="E15" s="329">
        <v>48000</v>
      </c>
      <c r="F15" s="327">
        <v>48000</v>
      </c>
      <c r="G15" s="327"/>
      <c r="H15" s="328"/>
      <c r="I15" s="328"/>
      <c r="J15" s="328"/>
      <c r="K15" s="313"/>
      <c r="L15" s="319"/>
      <c r="M15" s="319"/>
      <c r="N15" s="319"/>
      <c r="O15" s="319"/>
      <c r="P15" s="319"/>
      <c r="Q15" s="319"/>
      <c r="R15" s="319"/>
      <c r="S15" s="319"/>
      <c r="T15" s="319"/>
      <c r="U15" s="313"/>
    </row>
    <row r="16" spans="1:21" x14ac:dyDescent="0.3">
      <c r="A16" s="314" t="s">
        <v>282</v>
      </c>
      <c r="B16" s="327" t="s">
        <v>188</v>
      </c>
      <c r="C16" s="329">
        <v>220000</v>
      </c>
      <c r="D16" s="327" t="s">
        <v>188</v>
      </c>
      <c r="E16" s="329">
        <v>220000</v>
      </c>
      <c r="F16" s="269"/>
      <c r="G16" s="329">
        <v>220000</v>
      </c>
      <c r="H16" s="313"/>
      <c r="I16" s="313"/>
      <c r="J16" s="313"/>
      <c r="K16" s="313"/>
      <c r="L16" s="328"/>
      <c r="M16" s="328"/>
      <c r="N16" s="328"/>
      <c r="O16" s="319"/>
      <c r="P16" s="319"/>
      <c r="Q16" s="319"/>
      <c r="R16" s="319"/>
      <c r="S16" s="319"/>
      <c r="T16" s="319"/>
      <c r="U16" s="313"/>
    </row>
    <row r="17" spans="1:21" x14ac:dyDescent="0.3">
      <c r="A17" s="314" t="s">
        <v>283</v>
      </c>
      <c r="B17" s="327" t="s">
        <v>188</v>
      </c>
      <c r="C17" s="329">
        <v>157000</v>
      </c>
      <c r="D17" s="327" t="s">
        <v>188</v>
      </c>
      <c r="E17" s="329">
        <v>157000</v>
      </c>
      <c r="F17" s="269"/>
      <c r="G17" s="329">
        <v>157000</v>
      </c>
      <c r="H17" s="313"/>
      <c r="I17" s="313"/>
      <c r="J17" s="313"/>
      <c r="K17" s="313"/>
      <c r="L17" s="328"/>
      <c r="M17" s="328"/>
      <c r="N17" s="328"/>
      <c r="O17" s="319"/>
      <c r="P17" s="319"/>
      <c r="Q17" s="319"/>
      <c r="R17" s="319"/>
      <c r="S17" s="319"/>
      <c r="T17" s="319"/>
      <c r="U17" s="313"/>
    </row>
    <row r="18" spans="1:21" x14ac:dyDescent="0.3">
      <c r="A18" s="314" t="s">
        <v>308</v>
      </c>
      <c r="B18" s="327" t="s">
        <v>188</v>
      </c>
      <c r="C18" s="329">
        <v>520000</v>
      </c>
      <c r="D18" s="327" t="s">
        <v>188</v>
      </c>
      <c r="E18" s="329">
        <v>520000</v>
      </c>
      <c r="F18" s="329">
        <v>52000</v>
      </c>
      <c r="G18" s="329"/>
      <c r="H18" s="313"/>
      <c r="I18" s="313"/>
      <c r="J18" s="313"/>
      <c r="K18" s="313"/>
      <c r="L18" s="313"/>
      <c r="M18" s="328"/>
      <c r="N18" s="328"/>
      <c r="O18" s="328"/>
      <c r="P18" s="328"/>
      <c r="Q18" s="319"/>
      <c r="R18" s="319"/>
      <c r="S18" s="319"/>
      <c r="T18" s="319"/>
      <c r="U18" s="313"/>
    </row>
    <row r="19" spans="1:21" ht="15.75" customHeight="1" x14ac:dyDescent="0.3">
      <c r="A19" s="314" t="s">
        <v>309</v>
      </c>
      <c r="B19" s="327" t="s">
        <v>284</v>
      </c>
      <c r="C19" s="327">
        <v>320000</v>
      </c>
      <c r="D19" s="327" t="s">
        <v>285</v>
      </c>
      <c r="E19" s="329">
        <v>320000</v>
      </c>
      <c r="F19" s="327">
        <v>320000</v>
      </c>
      <c r="G19" s="327"/>
      <c r="H19" s="313"/>
      <c r="I19" s="313"/>
      <c r="J19" s="313"/>
      <c r="K19" s="313"/>
      <c r="L19" s="328"/>
      <c r="M19" s="328"/>
      <c r="N19" s="319"/>
      <c r="O19" s="319"/>
      <c r="P19" s="313"/>
      <c r="Q19" s="319"/>
      <c r="R19" s="319"/>
      <c r="S19" s="319"/>
      <c r="T19" s="330"/>
      <c r="U19" s="313"/>
    </row>
    <row r="20" spans="1:21" x14ac:dyDescent="0.3">
      <c r="A20" s="314" t="s">
        <v>197</v>
      </c>
      <c r="B20" s="327"/>
      <c r="C20" s="327"/>
      <c r="D20" s="327"/>
      <c r="E20" s="329"/>
      <c r="F20" s="329">
        <f>SUM(F8:F19)</f>
        <v>786000</v>
      </c>
      <c r="G20" s="329"/>
      <c r="H20" s="313"/>
      <c r="I20" s="313"/>
      <c r="J20" s="313"/>
      <c r="K20" s="313"/>
      <c r="L20" s="319"/>
      <c r="M20" s="319"/>
      <c r="N20" s="319"/>
      <c r="O20" s="319"/>
      <c r="P20" s="319"/>
      <c r="Q20" s="319"/>
      <c r="R20" s="319"/>
      <c r="S20" s="319"/>
      <c r="T20" s="326"/>
      <c r="U20" s="313"/>
    </row>
    <row r="21" spans="1:21" x14ac:dyDescent="0.3">
      <c r="A21" s="309" t="s">
        <v>301</v>
      </c>
      <c r="B21" s="313"/>
      <c r="C21" s="313"/>
      <c r="D21" s="313"/>
      <c r="E21" s="329"/>
      <c r="F21" s="331">
        <f>F5+F6+F7-F20</f>
        <v>5955.2</v>
      </c>
      <c r="G21" s="331"/>
      <c r="H21" s="313"/>
      <c r="I21" s="313"/>
      <c r="J21" s="313"/>
      <c r="K21" s="313"/>
      <c r="L21" s="319"/>
      <c r="M21" s="319"/>
      <c r="N21" s="319"/>
      <c r="O21" s="319"/>
      <c r="P21" s="319"/>
      <c r="Q21" s="319"/>
      <c r="R21" s="319"/>
      <c r="S21" s="319"/>
      <c r="T21" s="332"/>
      <c r="U21" s="313"/>
    </row>
    <row r="22" spans="1:21" hidden="1" x14ac:dyDescent="0.3">
      <c r="A22" s="333"/>
      <c r="B22" s="334"/>
      <c r="C22" s="334"/>
      <c r="D22" s="334"/>
      <c r="E22" s="335"/>
      <c r="F22" s="334"/>
      <c r="G22" s="334"/>
      <c r="H22" s="334"/>
      <c r="I22" s="334"/>
      <c r="J22" s="334"/>
      <c r="K22" s="334"/>
      <c r="L22" s="336"/>
      <c r="M22" s="336"/>
      <c r="N22" s="336"/>
      <c r="O22" s="336"/>
      <c r="P22" s="336"/>
      <c r="Q22" s="336"/>
      <c r="R22" s="336"/>
      <c r="S22" s="336"/>
      <c r="T22" s="337"/>
    </row>
    <row r="23" spans="1:21" hidden="1" x14ac:dyDescent="0.3">
      <c r="A23" s="299">
        <f>'[9]Перечень работ и услуг'!G20</f>
        <v>0</v>
      </c>
      <c r="E23" s="338">
        <f>A23-E20+C29</f>
        <v>29075.3</v>
      </c>
      <c r="L23" s="337"/>
      <c r="M23" s="337"/>
      <c r="N23" s="337"/>
      <c r="O23" s="337"/>
      <c r="P23" s="337"/>
      <c r="Q23" s="337"/>
      <c r="R23" s="337"/>
      <c r="S23" s="337"/>
      <c r="T23" s="337"/>
    </row>
    <row r="24" spans="1:21" hidden="1" x14ac:dyDescent="0.3">
      <c r="A24" s="299">
        <f>A23*30%</f>
        <v>0</v>
      </c>
      <c r="L24" s="337"/>
      <c r="M24" s="337"/>
      <c r="N24" s="337"/>
      <c r="O24" s="337"/>
      <c r="P24" s="337"/>
      <c r="Q24" s="337"/>
      <c r="R24" s="337"/>
      <c r="S24" s="337"/>
      <c r="T24" s="337"/>
    </row>
    <row r="25" spans="1:21" hidden="1" x14ac:dyDescent="0.3">
      <c r="L25" s="337"/>
      <c r="M25" s="337"/>
      <c r="N25" s="337"/>
      <c r="O25" s="337"/>
      <c r="P25" s="337"/>
      <c r="Q25" s="337"/>
      <c r="R25" s="337"/>
      <c r="S25" s="337"/>
      <c r="T25" s="337"/>
    </row>
    <row r="26" spans="1:21" hidden="1" x14ac:dyDescent="0.3">
      <c r="A26" s="299" t="s">
        <v>286</v>
      </c>
      <c r="C26" s="299">
        <v>165493</v>
      </c>
      <c r="L26" s="337"/>
      <c r="M26" s="337"/>
      <c r="N26" s="337"/>
      <c r="O26" s="337"/>
      <c r="P26" s="337"/>
      <c r="Q26" s="337"/>
      <c r="R26" s="337"/>
      <c r="S26" s="337"/>
      <c r="T26" s="337"/>
    </row>
    <row r="27" spans="1:21" hidden="1" x14ac:dyDescent="0.3">
      <c r="A27" s="299" t="s">
        <v>287</v>
      </c>
      <c r="C27" s="299">
        <v>136417.70000000001</v>
      </c>
      <c r="L27" s="337"/>
      <c r="M27" s="337"/>
      <c r="N27" s="337"/>
      <c r="O27" s="337"/>
      <c r="P27" s="337"/>
      <c r="Q27" s="337"/>
      <c r="R27" s="337"/>
      <c r="S27" s="337"/>
      <c r="T27" s="337"/>
    </row>
    <row r="28" spans="1:21" hidden="1" x14ac:dyDescent="0.3">
      <c r="C28" s="289">
        <f>C27/C26</f>
        <v>0.82430000000000003</v>
      </c>
      <c r="L28" s="337"/>
      <c r="M28" s="337"/>
      <c r="N28" s="337"/>
      <c r="O28" s="337"/>
      <c r="P28" s="337"/>
      <c r="Q28" s="337"/>
      <c r="R28" s="337"/>
      <c r="S28" s="337"/>
      <c r="T28" s="337"/>
    </row>
    <row r="29" spans="1:21" hidden="1" x14ac:dyDescent="0.3">
      <c r="A29" s="299" t="s">
        <v>288</v>
      </c>
      <c r="C29" s="299">
        <f>C26-C27</f>
        <v>29075.3</v>
      </c>
      <c r="L29" s="337"/>
      <c r="M29" s="337"/>
      <c r="N29" s="337"/>
      <c r="O29" s="337"/>
      <c r="P29" s="337"/>
      <c r="Q29" s="337"/>
      <c r="R29" s="337"/>
      <c r="S29" s="337"/>
      <c r="T29" s="337"/>
    </row>
    <row r="30" spans="1:21" hidden="1" x14ac:dyDescent="0.3">
      <c r="L30" s="337"/>
      <c r="M30" s="337"/>
      <c r="N30" s="337"/>
      <c r="O30" s="337"/>
      <c r="P30" s="337"/>
      <c r="Q30" s="337"/>
      <c r="R30" s="337"/>
      <c r="S30" s="337"/>
      <c r="T30" s="337"/>
    </row>
    <row r="31" spans="1:21" hidden="1" x14ac:dyDescent="0.3">
      <c r="A31" s="592" t="s">
        <v>289</v>
      </c>
      <c r="B31" s="592"/>
      <c r="F31" s="593" t="s">
        <v>290</v>
      </c>
      <c r="G31" s="593"/>
      <c r="H31" s="593"/>
      <c r="I31" s="593"/>
      <c r="J31" s="593"/>
      <c r="K31" s="593"/>
      <c r="L31" s="337"/>
      <c r="M31" s="337"/>
      <c r="N31" s="337"/>
      <c r="O31" s="337"/>
      <c r="P31" s="337"/>
      <c r="Q31" s="337"/>
      <c r="R31" s="337"/>
      <c r="S31" s="337"/>
      <c r="T31" s="337"/>
    </row>
    <row r="32" spans="1:21" ht="28.8" hidden="1" x14ac:dyDescent="0.3">
      <c r="A32" s="314" t="s">
        <v>291</v>
      </c>
      <c r="B32" s="313">
        <v>286070</v>
      </c>
      <c r="F32" s="587" t="s">
        <v>292</v>
      </c>
      <c r="G32" s="587"/>
      <c r="H32" s="587"/>
      <c r="I32" s="587"/>
      <c r="J32" s="587"/>
      <c r="K32" s="587"/>
      <c r="L32" s="319">
        <v>245600</v>
      </c>
      <c r="M32" s="337">
        <v>8</v>
      </c>
      <c r="N32" s="337">
        <v>5</v>
      </c>
      <c r="O32" s="337"/>
      <c r="P32" s="337"/>
      <c r="Q32" s="337"/>
      <c r="R32" s="337"/>
      <c r="S32" s="337"/>
      <c r="T32" s="337"/>
    </row>
    <row r="33" spans="1:20" ht="28.8" hidden="1" x14ac:dyDescent="0.3">
      <c r="A33" s="314" t="s">
        <v>293</v>
      </c>
      <c r="B33" s="313">
        <v>63750</v>
      </c>
      <c r="F33" s="587" t="s">
        <v>293</v>
      </c>
      <c r="G33" s="587"/>
      <c r="H33" s="587"/>
      <c r="I33" s="587"/>
      <c r="J33" s="587"/>
      <c r="K33" s="587"/>
      <c r="L33" s="319">
        <v>101340</v>
      </c>
      <c r="M33" s="337"/>
      <c r="N33" s="337"/>
      <c r="O33" s="337"/>
      <c r="P33" s="337"/>
      <c r="Q33" s="337"/>
      <c r="R33" s="337"/>
      <c r="S33" s="337"/>
      <c r="T33" s="337"/>
    </row>
    <row r="34" spans="1:20" hidden="1" x14ac:dyDescent="0.3">
      <c r="A34" s="314" t="s">
        <v>294</v>
      </c>
      <c r="B34" s="313">
        <v>51172</v>
      </c>
      <c r="D34" s="299" t="s">
        <v>295</v>
      </c>
      <c r="F34" s="587" t="s">
        <v>294</v>
      </c>
      <c r="G34" s="587"/>
      <c r="H34" s="587"/>
      <c r="I34" s="587"/>
      <c r="J34" s="587"/>
      <c r="K34" s="587"/>
      <c r="L34" s="337"/>
      <c r="M34" s="337"/>
      <c r="N34" s="337"/>
      <c r="O34" s="337"/>
      <c r="P34" s="337"/>
      <c r="Q34" s="337"/>
      <c r="R34" s="337"/>
      <c r="S34" s="337"/>
      <c r="T34" s="337"/>
    </row>
    <row r="35" spans="1:20" hidden="1" x14ac:dyDescent="0.3">
      <c r="A35" s="339" t="s">
        <v>296</v>
      </c>
      <c r="B35" s="299">
        <f>SUM(B32:B34)</f>
        <v>400992</v>
      </c>
      <c r="C35" s="299">
        <f>B35/8</f>
        <v>50124</v>
      </c>
      <c r="D35" s="299">
        <f>C35*5</f>
        <v>250620</v>
      </c>
      <c r="F35" s="314" t="s">
        <v>296</v>
      </c>
      <c r="G35" s="314"/>
      <c r="H35" s="313"/>
      <c r="I35" s="313"/>
      <c r="J35" s="313"/>
      <c r="K35" s="313"/>
      <c r="L35" s="337">
        <f>L32+L33</f>
        <v>346940</v>
      </c>
      <c r="M35" s="337">
        <f>L35/8</f>
        <v>43367.5</v>
      </c>
      <c r="N35" s="337">
        <f>M35*N32</f>
        <v>216837.5</v>
      </c>
      <c r="O35" s="337"/>
      <c r="P35" s="337"/>
      <c r="Q35" s="337">
        <v>346940</v>
      </c>
      <c r="R35" s="337"/>
      <c r="S35" s="337"/>
      <c r="T35" s="337"/>
    </row>
    <row r="36" spans="1:20" ht="28.8" hidden="1" x14ac:dyDescent="0.3">
      <c r="A36" s="314" t="s">
        <v>297</v>
      </c>
      <c r="B36" s="299">
        <v>78491.41</v>
      </c>
      <c r="F36" s="587" t="s">
        <v>297</v>
      </c>
      <c r="G36" s="587"/>
      <c r="H36" s="587"/>
      <c r="I36" s="587"/>
      <c r="J36" s="587"/>
      <c r="K36" s="587"/>
      <c r="L36" s="337"/>
      <c r="M36" s="337"/>
      <c r="N36" s="337"/>
      <c r="O36" s="337"/>
      <c r="P36" s="337"/>
      <c r="Q36" s="337"/>
      <c r="R36" s="337"/>
      <c r="S36" s="337"/>
      <c r="T36" s="337"/>
    </row>
    <row r="37" spans="1:20" hidden="1" x14ac:dyDescent="0.3">
      <c r="A37" s="315" t="s">
        <v>298</v>
      </c>
      <c r="B37" s="340" t="s">
        <v>299</v>
      </c>
      <c r="C37" s="340"/>
      <c r="D37" s="340">
        <v>30</v>
      </c>
      <c r="E37" s="341">
        <v>16200</v>
      </c>
      <c r="F37" s="313">
        <f>SUM(H37:S37)</f>
        <v>1</v>
      </c>
      <c r="G37" s="313"/>
      <c r="H37" s="313"/>
      <c r="I37" s="313"/>
      <c r="J37" s="313">
        <v>1</v>
      </c>
      <c r="K37" s="313"/>
      <c r="L37" s="319"/>
      <c r="M37" s="319"/>
      <c r="N37" s="319"/>
      <c r="O37" s="319"/>
      <c r="P37" s="319"/>
      <c r="Q37" s="319"/>
      <c r="R37" s="319"/>
      <c r="S37" s="319"/>
      <c r="T37" s="337"/>
    </row>
    <row r="38" spans="1:20" hidden="1" x14ac:dyDescent="0.3">
      <c r="L38" s="337"/>
      <c r="M38" s="337"/>
      <c r="N38" s="337"/>
      <c r="O38" s="337"/>
      <c r="P38" s="337"/>
      <c r="Q38" s="337"/>
      <c r="R38" s="337"/>
      <c r="S38" s="337"/>
      <c r="T38" s="337"/>
    </row>
    <row r="39" spans="1:20" hidden="1" x14ac:dyDescent="0.3">
      <c r="L39" s="337"/>
      <c r="M39" s="337"/>
      <c r="N39" s="337"/>
      <c r="O39" s="337"/>
      <c r="P39" s="337"/>
      <c r="Q39" s="337"/>
      <c r="R39" s="337"/>
      <c r="S39" s="337"/>
      <c r="T39" s="337"/>
    </row>
    <row r="40" spans="1:20" hidden="1" x14ac:dyDescent="0.3">
      <c r="L40" s="337"/>
      <c r="M40" s="337"/>
      <c r="N40" s="337"/>
      <c r="O40" s="337"/>
      <c r="P40" s="337"/>
      <c r="Q40" s="337"/>
      <c r="R40" s="337"/>
      <c r="S40" s="337"/>
      <c r="T40" s="337"/>
    </row>
    <row r="41" spans="1:20" hidden="1" x14ac:dyDescent="0.3">
      <c r="L41" s="337"/>
      <c r="M41" s="337"/>
      <c r="N41" s="337"/>
      <c r="O41" s="337"/>
      <c r="P41" s="337"/>
      <c r="Q41" s="337"/>
      <c r="R41" s="337"/>
      <c r="S41" s="337"/>
      <c r="T41" s="337"/>
    </row>
    <row r="42" spans="1:20" hidden="1" x14ac:dyDescent="0.3">
      <c r="B42" s="299">
        <v>43367.5</v>
      </c>
      <c r="C42" s="299">
        <f>B42*1.1</f>
        <v>47704.25</v>
      </c>
      <c r="L42" s="337"/>
      <c r="M42" s="337"/>
      <c r="N42" s="337"/>
      <c r="O42" s="337"/>
      <c r="P42" s="337"/>
      <c r="Q42" s="337"/>
      <c r="R42" s="337"/>
      <c r="S42" s="337"/>
      <c r="T42" s="337"/>
    </row>
    <row r="43" spans="1:20" x14ac:dyDescent="0.3">
      <c r="L43" s="337"/>
      <c r="M43" s="337"/>
      <c r="N43" s="337"/>
      <c r="O43" s="337"/>
      <c r="P43" s="337"/>
      <c r="Q43" s="337"/>
      <c r="R43" s="337"/>
      <c r="S43" s="337"/>
      <c r="T43" s="337"/>
    </row>
  </sheetData>
  <mergeCells count="18">
    <mergeCell ref="F33:K33"/>
    <mergeCell ref="F34:K34"/>
    <mergeCell ref="G3:G4"/>
    <mergeCell ref="P1:U1"/>
    <mergeCell ref="F36:K36"/>
    <mergeCell ref="A2:U2"/>
    <mergeCell ref="A3:A4"/>
    <mergeCell ref="B3:B4"/>
    <mergeCell ref="C3:C4"/>
    <mergeCell ref="D3:D4"/>
    <mergeCell ref="E3:E4"/>
    <mergeCell ref="F3:F4"/>
    <mergeCell ref="H3:S3"/>
    <mergeCell ref="T3:T4"/>
    <mergeCell ref="U3:U4"/>
    <mergeCell ref="A31:B31"/>
    <mergeCell ref="F31:K31"/>
    <mergeCell ref="F32:K32"/>
  </mergeCells>
  <pageMargins left="0.25" right="0.25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4"/>
  <sheetViews>
    <sheetView zoomScale="85" zoomScaleNormal="85" workbookViewId="0">
      <selection activeCell="E8" sqref="E8"/>
    </sheetView>
  </sheetViews>
  <sheetFormatPr defaultColWidth="9.21875" defaultRowHeight="14.4" x14ac:dyDescent="0.3"/>
  <cols>
    <col min="1" max="1" width="51.77734375" style="365" customWidth="1"/>
    <col min="2" max="2" width="8.21875" style="365" customWidth="1"/>
    <col min="3" max="3" width="10" style="365" customWidth="1"/>
    <col min="4" max="4" width="10.5546875" style="365" customWidth="1"/>
    <col min="5" max="5" width="12.77734375" style="365" customWidth="1"/>
    <col min="6" max="6" width="10.5546875" style="365" customWidth="1"/>
    <col min="7" max="18" width="4.77734375" style="365" customWidth="1"/>
    <col min="19" max="19" width="10.77734375" style="365" hidden="1" customWidth="1"/>
    <col min="20" max="20" width="31.21875" style="365" hidden="1" customWidth="1"/>
    <col min="21" max="21" width="0" style="365" hidden="1" customWidth="1"/>
    <col min="22" max="22" width="9.5546875" style="365" hidden="1" customWidth="1"/>
    <col min="23" max="23" width="0" style="365" hidden="1" customWidth="1"/>
    <col min="24" max="16384" width="9.21875" style="365"/>
  </cols>
  <sheetData>
    <row r="1" spans="1:23" s="299" customFormat="1" ht="70.5" customHeight="1" x14ac:dyDescent="0.3">
      <c r="K1" s="594" t="s">
        <v>189</v>
      </c>
      <c r="L1" s="594"/>
      <c r="M1" s="594"/>
      <c r="N1" s="594"/>
      <c r="O1" s="594"/>
      <c r="P1" s="594"/>
      <c r="Q1" s="594"/>
      <c r="R1" s="594"/>
    </row>
    <row r="2" spans="1:23" s="299" customFormat="1" ht="16.5" hidden="1" customHeight="1" x14ac:dyDescent="0.3">
      <c r="O2" s="364"/>
    </row>
    <row r="3" spans="1:23" s="299" customFormat="1" ht="62.25" customHeight="1" x14ac:dyDescent="0.3">
      <c r="A3" s="597" t="s">
        <v>318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</row>
    <row r="4" spans="1:23" ht="30" customHeight="1" x14ac:dyDescent="0.3">
      <c r="A4" s="598" t="s">
        <v>268</v>
      </c>
      <c r="B4" s="600" t="s">
        <v>19</v>
      </c>
      <c r="C4" s="600" t="s">
        <v>15</v>
      </c>
      <c r="D4" s="600" t="s">
        <v>16</v>
      </c>
      <c r="E4" s="602" t="s">
        <v>18</v>
      </c>
      <c r="F4" s="602" t="s">
        <v>17</v>
      </c>
      <c r="G4" s="595" t="s">
        <v>40</v>
      </c>
      <c r="H4" s="595" t="s">
        <v>41</v>
      </c>
      <c r="I4" s="595" t="s">
        <v>42</v>
      </c>
      <c r="J4" s="595" t="s">
        <v>43</v>
      </c>
      <c r="K4" s="595" t="s">
        <v>44</v>
      </c>
      <c r="L4" s="595" t="s">
        <v>45</v>
      </c>
      <c r="M4" s="595" t="s">
        <v>46</v>
      </c>
      <c r="N4" s="595" t="s">
        <v>47</v>
      </c>
      <c r="O4" s="595" t="s">
        <v>48</v>
      </c>
      <c r="P4" s="595" t="s">
        <v>49</v>
      </c>
      <c r="Q4" s="595" t="s">
        <v>50</v>
      </c>
      <c r="R4" s="595" t="s">
        <v>51</v>
      </c>
      <c r="S4" s="604" t="s">
        <v>319</v>
      </c>
      <c r="T4" s="604" t="s">
        <v>320</v>
      </c>
    </row>
    <row r="5" spans="1:23" x14ac:dyDescent="0.3">
      <c r="A5" s="599"/>
      <c r="B5" s="601"/>
      <c r="C5" s="601"/>
      <c r="D5" s="601"/>
      <c r="E5" s="603"/>
      <c r="F5" s="603"/>
      <c r="G5" s="596">
        <v>43831</v>
      </c>
      <c r="H5" s="596">
        <v>43862</v>
      </c>
      <c r="I5" s="596">
        <v>43891</v>
      </c>
      <c r="J5" s="596">
        <v>43921.333333333299</v>
      </c>
      <c r="K5" s="596">
        <v>43951.333333333299</v>
      </c>
      <c r="L5" s="596">
        <v>43981.333333333299</v>
      </c>
      <c r="M5" s="596">
        <v>44011.333333333299</v>
      </c>
      <c r="N5" s="596">
        <v>44041.333333333299</v>
      </c>
      <c r="O5" s="596">
        <v>44071.333333333299</v>
      </c>
      <c r="P5" s="596">
        <v>44101.333333333299</v>
      </c>
      <c r="Q5" s="596">
        <v>44131.333333333299</v>
      </c>
      <c r="R5" s="596">
        <v>44161.333333333299</v>
      </c>
      <c r="S5" s="605"/>
      <c r="T5" s="605"/>
    </row>
    <row r="6" spans="1:23" x14ac:dyDescent="0.3">
      <c r="A6" s="366" t="s">
        <v>329</v>
      </c>
      <c r="B6" s="367"/>
      <c r="C6" s="368"/>
      <c r="D6" s="369"/>
      <c r="E6" s="410">
        <f>'[7]Мира 122-2'!$D$55</f>
        <v>-639544.53</v>
      </c>
      <c r="F6" s="369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T6" s="366"/>
      <c r="V6" s="372">
        <f>E6+E8</f>
        <v>-306875.73</v>
      </c>
      <c r="W6" s="365">
        <f>V6*0.75</f>
        <v>-230156.79749999999</v>
      </c>
    </row>
    <row r="7" spans="1:23" ht="18" customHeight="1" x14ac:dyDescent="0.3">
      <c r="A7" s="373" t="s">
        <v>330</v>
      </c>
      <c r="B7" s="374"/>
      <c r="C7" s="374"/>
      <c r="D7" s="374"/>
      <c r="E7" s="410">
        <f>'[3]2025'!$Q$97</f>
        <v>45300</v>
      </c>
      <c r="F7" s="369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5"/>
      <c r="T7" s="376"/>
      <c r="U7" s="365" t="s">
        <v>321</v>
      </c>
    </row>
    <row r="8" spans="1:23" x14ac:dyDescent="0.3">
      <c r="A8" s="315" t="s">
        <v>300</v>
      </c>
      <c r="B8" s="367"/>
      <c r="C8" s="368"/>
      <c r="D8" s="369"/>
      <c r="E8" s="410">
        <f>'МКД Мира ,122_2'!G6</f>
        <v>332668.79999999999</v>
      </c>
      <c r="F8" s="369"/>
      <c r="G8" s="371"/>
      <c r="H8" s="371"/>
      <c r="I8" s="371"/>
      <c r="J8" s="367"/>
      <c r="K8" s="367"/>
      <c r="L8" s="367"/>
      <c r="M8" s="371"/>
      <c r="N8" s="371"/>
      <c r="O8" s="371"/>
      <c r="P8" s="371"/>
      <c r="Q8" s="371"/>
      <c r="R8" s="371"/>
      <c r="S8" s="366"/>
      <c r="T8" s="366"/>
    </row>
    <row r="9" spans="1:23" ht="15.75" customHeight="1" x14ac:dyDescent="0.3">
      <c r="A9" s="377" t="s">
        <v>322</v>
      </c>
      <c r="B9" s="378" t="s">
        <v>195</v>
      </c>
      <c r="C9" s="370">
        <v>70000</v>
      </c>
      <c r="D9" s="378" t="s">
        <v>195</v>
      </c>
      <c r="E9" s="410">
        <v>70000</v>
      </c>
      <c r="F9" s="379"/>
      <c r="G9" s="367"/>
      <c r="H9" s="367"/>
      <c r="I9" s="367"/>
      <c r="J9" s="367"/>
      <c r="K9" s="367"/>
      <c r="L9" s="380"/>
      <c r="M9" s="381"/>
      <c r="N9" s="381"/>
      <c r="O9" s="367"/>
      <c r="P9" s="367"/>
      <c r="Q9" s="367"/>
      <c r="R9" s="367"/>
      <c r="S9" s="382">
        <f>E9</f>
        <v>70000</v>
      </c>
      <c r="T9" s="383"/>
      <c r="W9" s="372">
        <f>W6-S13</f>
        <v>-300156.79999999999</v>
      </c>
    </row>
    <row r="10" spans="1:23" ht="28.5" customHeight="1" x14ac:dyDescent="0.3">
      <c r="A10" s="377" t="s">
        <v>323</v>
      </c>
      <c r="B10" s="378" t="s">
        <v>188</v>
      </c>
      <c r="C10" s="384">
        <v>180000</v>
      </c>
      <c r="D10" s="378" t="s">
        <v>188</v>
      </c>
      <c r="E10" s="410">
        <v>180000</v>
      </c>
      <c r="F10" s="379"/>
      <c r="G10" s="367"/>
      <c r="H10" s="367"/>
      <c r="I10" s="367"/>
      <c r="J10" s="309"/>
      <c r="K10" s="309"/>
      <c r="L10" s="381"/>
      <c r="M10" s="381"/>
      <c r="N10" s="381"/>
      <c r="O10" s="328"/>
      <c r="P10" s="328"/>
      <c r="Q10" s="367"/>
      <c r="R10" s="367"/>
      <c r="S10" s="385"/>
      <c r="T10" s="383"/>
    </row>
    <row r="11" spans="1:23" ht="15.45" customHeight="1" x14ac:dyDescent="0.3">
      <c r="A11" s="377" t="s">
        <v>324</v>
      </c>
      <c r="B11" s="378" t="s">
        <v>188</v>
      </c>
      <c r="C11" s="384">
        <v>220000</v>
      </c>
      <c r="D11" s="378" t="s">
        <v>188</v>
      </c>
      <c r="E11" s="410">
        <v>220000</v>
      </c>
      <c r="F11" s="379"/>
      <c r="G11" s="367"/>
      <c r="H11" s="367"/>
      <c r="I11" s="367"/>
      <c r="J11" s="309"/>
      <c r="K11" s="309"/>
      <c r="L11" s="381"/>
      <c r="M11" s="381"/>
      <c r="N11" s="381"/>
      <c r="O11" s="328"/>
      <c r="P11" s="299"/>
      <c r="Q11" s="367"/>
      <c r="R11" s="367"/>
      <c r="S11" s="385"/>
      <c r="T11" s="383"/>
    </row>
    <row r="12" spans="1:23" ht="16.95" customHeight="1" x14ac:dyDescent="0.3">
      <c r="A12" s="377" t="s">
        <v>325</v>
      </c>
      <c r="B12" s="378" t="s">
        <v>326</v>
      </c>
      <c r="C12" s="384">
        <v>47500</v>
      </c>
      <c r="D12" s="384" t="s">
        <v>327</v>
      </c>
      <c r="E12" s="410">
        <v>57500</v>
      </c>
      <c r="F12" s="379"/>
      <c r="G12" s="309"/>
      <c r="H12" s="367"/>
      <c r="I12" s="367"/>
      <c r="J12" s="367"/>
      <c r="K12" s="367"/>
      <c r="L12" s="367"/>
      <c r="M12" s="367"/>
      <c r="N12" s="367"/>
      <c r="O12" s="381"/>
      <c r="P12" s="367"/>
      <c r="Q12" s="367"/>
      <c r="R12" s="367"/>
      <c r="T12" s="383"/>
    </row>
    <row r="13" spans="1:23" x14ac:dyDescent="0.3">
      <c r="A13" s="412" t="s">
        <v>197</v>
      </c>
      <c r="B13" s="325"/>
      <c r="C13" s="379"/>
      <c r="D13" s="379"/>
      <c r="E13" s="411">
        <f>SUM(E9:E12)</f>
        <v>527500</v>
      </c>
      <c r="F13" s="370"/>
      <c r="G13" s="367"/>
      <c r="H13" s="367"/>
      <c r="I13" s="367"/>
      <c r="J13" s="367"/>
      <c r="K13" s="367"/>
      <c r="L13" s="367"/>
      <c r="M13" s="367"/>
      <c r="N13" s="367"/>
      <c r="O13" s="367"/>
      <c r="P13" s="367"/>
      <c r="Q13" s="367"/>
      <c r="R13" s="367"/>
      <c r="S13" s="382">
        <f>SUM(S9:S9)</f>
        <v>70000</v>
      </c>
      <c r="T13" s="383"/>
    </row>
    <row r="14" spans="1:23" x14ac:dyDescent="0.3">
      <c r="A14" s="366" t="s">
        <v>353</v>
      </c>
      <c r="B14" s="367"/>
      <c r="C14" s="368"/>
      <c r="D14" s="368"/>
      <c r="E14" s="410">
        <f>E6+E7+E8-E13</f>
        <v>-789075.73</v>
      </c>
      <c r="F14" s="386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  <c r="R14" s="367"/>
      <c r="S14" s="382">
        <f>E6+E8+E7-S13</f>
        <v>-331575.73</v>
      </c>
      <c r="T14" s="383"/>
    </row>
    <row r="15" spans="1:23" x14ac:dyDescent="0.3">
      <c r="B15" s="337"/>
      <c r="C15" s="337"/>
      <c r="D15" s="337"/>
      <c r="E15" s="337"/>
      <c r="F15" s="337"/>
      <c r="G15" s="337"/>
      <c r="H15" s="337"/>
      <c r="I15" s="337"/>
      <c r="J15" s="337"/>
      <c r="K15" s="337"/>
      <c r="L15" s="337"/>
      <c r="M15" s="337"/>
      <c r="N15" s="337"/>
      <c r="O15" s="337"/>
      <c r="P15" s="337"/>
      <c r="Q15" s="337"/>
      <c r="R15" s="337"/>
    </row>
    <row r="16" spans="1:23" x14ac:dyDescent="0.3">
      <c r="B16" s="337"/>
      <c r="C16" s="337"/>
      <c r="D16" s="337"/>
      <c r="E16" s="337"/>
      <c r="F16" s="337"/>
      <c r="G16" s="337"/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37"/>
    </row>
    <row r="17" spans="1:19" hidden="1" x14ac:dyDescent="0.3">
      <c r="B17" s="337"/>
      <c r="C17" s="337"/>
      <c r="D17" s="337"/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</row>
    <row r="18" spans="1:19" hidden="1" x14ac:dyDescent="0.3">
      <c r="A18" s="365" t="s">
        <v>286</v>
      </c>
      <c r="B18" s="337"/>
      <c r="C18" s="337"/>
      <c r="D18" s="337"/>
      <c r="E18" s="337"/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37"/>
    </row>
    <row r="19" spans="1:19" hidden="1" x14ac:dyDescent="0.3">
      <c r="A19" s="365" t="s">
        <v>287</v>
      </c>
      <c r="B19" s="337"/>
      <c r="C19" s="337"/>
      <c r="D19" s="337"/>
      <c r="E19" s="337"/>
      <c r="F19" s="337"/>
      <c r="G19" s="337"/>
      <c r="H19" s="337"/>
      <c r="I19" s="337"/>
      <c r="J19" s="337"/>
      <c r="K19" s="337"/>
      <c r="L19" s="337"/>
      <c r="M19" s="337"/>
      <c r="N19" s="337"/>
      <c r="O19" s="337"/>
      <c r="P19" s="337"/>
      <c r="Q19" s="337"/>
      <c r="R19" s="337"/>
    </row>
    <row r="20" spans="1:19" hidden="1" x14ac:dyDescent="0.3">
      <c r="B20" s="337"/>
      <c r="C20" s="337"/>
      <c r="D20" s="337"/>
      <c r="E20" s="337"/>
      <c r="F20" s="337"/>
      <c r="G20" s="337"/>
      <c r="H20" s="337"/>
      <c r="I20" s="337"/>
      <c r="J20" s="337"/>
      <c r="K20" s="337"/>
      <c r="L20" s="337"/>
      <c r="M20" s="337"/>
      <c r="N20" s="337"/>
      <c r="O20" s="337"/>
      <c r="P20" s="337"/>
      <c r="Q20" s="337"/>
      <c r="R20" s="337"/>
    </row>
    <row r="21" spans="1:19" hidden="1" x14ac:dyDescent="0.3">
      <c r="A21" s="365" t="s">
        <v>288</v>
      </c>
      <c r="B21" s="337"/>
      <c r="C21" s="337"/>
      <c r="D21" s="337"/>
      <c r="E21" s="337"/>
      <c r="F21" s="337"/>
      <c r="G21" s="337"/>
      <c r="H21" s="337"/>
      <c r="I21" s="337"/>
      <c r="J21" s="337"/>
      <c r="K21" s="337"/>
      <c r="L21" s="337"/>
      <c r="M21" s="337"/>
      <c r="N21" s="337"/>
      <c r="O21" s="337"/>
      <c r="P21" s="337"/>
      <c r="Q21" s="337"/>
      <c r="R21" s="337"/>
    </row>
    <row r="22" spans="1:19" hidden="1" x14ac:dyDescent="0.3">
      <c r="B22" s="337"/>
      <c r="C22" s="337"/>
      <c r="D22" s="337"/>
      <c r="E22" s="337"/>
      <c r="F22" s="337"/>
      <c r="G22" s="337"/>
      <c r="H22" s="337"/>
      <c r="I22" s="337"/>
      <c r="J22" s="337"/>
      <c r="K22" s="337"/>
      <c r="L22" s="337"/>
      <c r="M22" s="337"/>
      <c r="N22" s="337"/>
      <c r="O22" s="337"/>
      <c r="P22" s="337"/>
      <c r="Q22" s="337"/>
      <c r="R22" s="337"/>
    </row>
    <row r="23" spans="1:19" hidden="1" x14ac:dyDescent="0.3">
      <c r="B23" s="337"/>
      <c r="C23" s="337"/>
      <c r="D23" s="337"/>
      <c r="E23" s="337"/>
      <c r="F23" s="337"/>
      <c r="G23" s="337"/>
      <c r="H23" s="337"/>
      <c r="I23" s="337"/>
      <c r="J23" s="337"/>
      <c r="K23" s="337"/>
      <c r="L23" s="337"/>
      <c r="M23" s="337"/>
      <c r="N23" s="337"/>
      <c r="O23" s="337"/>
      <c r="P23" s="337"/>
      <c r="Q23" s="337"/>
      <c r="R23" s="337"/>
    </row>
    <row r="24" spans="1:19" x14ac:dyDescent="0.3">
      <c r="B24" s="337"/>
      <c r="C24" s="337"/>
      <c r="D24" s="337"/>
      <c r="E24" s="337"/>
      <c r="F24" s="337"/>
      <c r="G24" s="337"/>
      <c r="H24" s="337"/>
      <c r="I24" s="337"/>
      <c r="J24" s="337"/>
      <c r="K24" s="337"/>
      <c r="L24" s="337"/>
      <c r="M24" s="337"/>
      <c r="N24" s="337"/>
      <c r="O24" s="337"/>
      <c r="P24" s="337"/>
      <c r="Q24" s="337"/>
      <c r="R24" s="337"/>
    </row>
    <row r="25" spans="1:19" x14ac:dyDescent="0.3"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  <c r="M25" s="337"/>
      <c r="N25" s="337"/>
      <c r="O25" s="337"/>
      <c r="P25" s="337"/>
      <c r="Q25" s="337"/>
      <c r="R25" s="337"/>
    </row>
    <row r="26" spans="1:19" hidden="1" x14ac:dyDescent="0.3">
      <c r="E26" s="365">
        <v>30000</v>
      </c>
      <c r="S26" s="365">
        <v>182090</v>
      </c>
    </row>
    <row r="27" spans="1:19" hidden="1" x14ac:dyDescent="0.3"/>
    <row r="28" spans="1:19" hidden="1" x14ac:dyDescent="0.3"/>
    <row r="29" spans="1:19" hidden="1" x14ac:dyDescent="0.3">
      <c r="A29" s="377" t="s">
        <v>298</v>
      </c>
      <c r="B29" s="387" t="s">
        <v>299</v>
      </c>
      <c r="C29" s="387"/>
      <c r="D29" s="387">
        <v>30</v>
      </c>
      <c r="E29" s="388">
        <v>16200</v>
      </c>
      <c r="F29" s="389">
        <f>SUM(G29:R29)</f>
        <v>1</v>
      </c>
      <c r="G29" s="389"/>
      <c r="H29" s="389"/>
      <c r="I29" s="389">
        <v>1</v>
      </c>
      <c r="J29" s="389"/>
      <c r="K29" s="389"/>
      <c r="L29" s="389"/>
      <c r="M29" s="389"/>
      <c r="N29" s="389"/>
      <c r="O29" s="389"/>
      <c r="P29" s="389"/>
      <c r="Q29" s="389"/>
      <c r="R29" s="389"/>
    </row>
    <row r="30" spans="1:19" hidden="1" x14ac:dyDescent="0.3"/>
    <row r="31" spans="1:19" hidden="1" x14ac:dyDescent="0.3"/>
    <row r="32" spans="1:19" hidden="1" x14ac:dyDescent="0.3">
      <c r="D32" s="365" t="s">
        <v>328</v>
      </c>
    </row>
    <row r="33" spans="5:19" hidden="1" x14ac:dyDescent="0.3"/>
    <row r="34" spans="5:19" hidden="1" x14ac:dyDescent="0.3">
      <c r="S34" s="372">
        <f>S26-S14</f>
        <v>513665.73</v>
      </c>
    </row>
    <row r="35" spans="5:19" hidden="1" x14ac:dyDescent="0.3"/>
    <row r="36" spans="5:19" hidden="1" x14ac:dyDescent="0.3"/>
    <row r="37" spans="5:19" hidden="1" x14ac:dyDescent="0.3"/>
    <row r="38" spans="5:19" hidden="1" x14ac:dyDescent="0.3"/>
    <row r="39" spans="5:19" hidden="1" x14ac:dyDescent="0.3"/>
    <row r="40" spans="5:19" hidden="1" x14ac:dyDescent="0.3">
      <c r="E40" s="390">
        <f>E6+E8</f>
        <v>-306875.73</v>
      </c>
    </row>
    <row r="41" spans="5:19" hidden="1" x14ac:dyDescent="0.3"/>
    <row r="42" spans="5:19" hidden="1" x14ac:dyDescent="0.3"/>
    <row r="43" spans="5:19" hidden="1" x14ac:dyDescent="0.3"/>
    <row r="44" spans="5:19" hidden="1" x14ac:dyDescent="0.3"/>
  </sheetData>
  <mergeCells count="22">
    <mergeCell ref="H4:H5"/>
    <mergeCell ref="P4:P5"/>
    <mergeCell ref="Q4:Q5"/>
    <mergeCell ref="R4:R5"/>
    <mergeCell ref="S4:S5"/>
    <mergeCell ref="I4:I5"/>
    <mergeCell ref="K1:R1"/>
    <mergeCell ref="J4:J5"/>
    <mergeCell ref="K4:K5"/>
    <mergeCell ref="L4:L5"/>
    <mergeCell ref="M4:M5"/>
    <mergeCell ref="N4:N5"/>
    <mergeCell ref="O4:O5"/>
    <mergeCell ref="A3:T3"/>
    <mergeCell ref="A4:A5"/>
    <mergeCell ref="B4:B5"/>
    <mergeCell ref="C4:C5"/>
    <mergeCell ref="D4:D5"/>
    <mergeCell ref="E4:E5"/>
    <mergeCell ref="F4:F5"/>
    <mergeCell ref="G4:G5"/>
    <mergeCell ref="T4:T5"/>
  </mergeCells>
  <pageMargins left="0.25" right="0.25" top="0.75" bottom="0.75" header="0.3" footer="0.3"/>
  <pageSetup paperSize="9" scale="8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zoomScale="70" zoomScaleNormal="70" workbookViewId="0">
      <selection activeCell="E9" sqref="E9"/>
    </sheetView>
  </sheetViews>
  <sheetFormatPr defaultColWidth="8.77734375" defaultRowHeight="14.4" x14ac:dyDescent="0.3"/>
  <cols>
    <col min="1" max="1" width="68.77734375" style="265" customWidth="1"/>
    <col min="2" max="2" width="10.77734375" style="265" customWidth="1"/>
    <col min="3" max="3" width="10" style="265" customWidth="1"/>
    <col min="4" max="4" width="10.5546875" style="265" customWidth="1"/>
    <col min="5" max="5" width="12.5546875" style="265" customWidth="1"/>
    <col min="6" max="6" width="10.5546875" style="265" customWidth="1"/>
    <col min="7" max="18" width="4.77734375" style="265" customWidth="1"/>
    <col min="19" max="20" width="0" style="265" hidden="1" customWidth="1"/>
    <col min="21" max="16384" width="8.77734375" style="265"/>
  </cols>
  <sheetData>
    <row r="1" spans="1:20" s="413" customFormat="1" x14ac:dyDescent="0.3"/>
    <row r="2" spans="1:20" s="414" customFormat="1" ht="55.5" customHeight="1" x14ac:dyDescent="0.25">
      <c r="J2" s="526" t="s">
        <v>189</v>
      </c>
      <c r="K2" s="526"/>
      <c r="L2" s="526"/>
      <c r="M2" s="526"/>
      <c r="N2" s="526"/>
      <c r="O2" s="526"/>
      <c r="P2" s="526"/>
      <c r="Q2" s="526"/>
      <c r="R2" s="526"/>
      <c r="S2" s="350"/>
      <c r="T2" s="350"/>
    </row>
    <row r="3" spans="1:20" s="414" customFormat="1" ht="13.8" x14ac:dyDescent="0.25">
      <c r="A3" s="606" t="s">
        <v>354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349"/>
      <c r="T3" s="349"/>
    </row>
    <row r="4" spans="1:20" s="413" customFormat="1" x14ac:dyDescent="0.3"/>
    <row r="5" spans="1:20" ht="19.95" customHeight="1" x14ac:dyDescent="0.3">
      <c r="A5" s="607" t="s">
        <v>268</v>
      </c>
      <c r="B5" s="607" t="s">
        <v>19</v>
      </c>
      <c r="C5" s="607" t="s">
        <v>15</v>
      </c>
      <c r="D5" s="607" t="s">
        <v>16</v>
      </c>
      <c r="E5" s="607" t="s">
        <v>18</v>
      </c>
      <c r="F5" s="607" t="s">
        <v>17</v>
      </c>
      <c r="G5" s="564" t="s">
        <v>201</v>
      </c>
      <c r="H5" s="564"/>
      <c r="I5" s="564"/>
      <c r="J5" s="564"/>
      <c r="K5" s="564"/>
      <c r="L5" s="564"/>
      <c r="M5" s="564"/>
      <c r="N5" s="564"/>
      <c r="O5" s="564"/>
      <c r="P5" s="564"/>
      <c r="Q5" s="564"/>
      <c r="R5" s="564"/>
    </row>
    <row r="6" spans="1:20" ht="45.45" customHeight="1" x14ac:dyDescent="0.3">
      <c r="A6" s="608"/>
      <c r="B6" s="609"/>
      <c r="C6" s="609"/>
      <c r="D6" s="610"/>
      <c r="E6" s="611"/>
      <c r="F6" s="611"/>
      <c r="G6" s="422" t="s">
        <v>40</v>
      </c>
      <c r="H6" s="422" t="s">
        <v>41</v>
      </c>
      <c r="I6" s="422" t="s">
        <v>42</v>
      </c>
      <c r="J6" s="422" t="s">
        <v>43</v>
      </c>
      <c r="K6" s="422" t="s">
        <v>44</v>
      </c>
      <c r="L6" s="422" t="s">
        <v>45</v>
      </c>
      <c r="M6" s="422" t="s">
        <v>46</v>
      </c>
      <c r="N6" s="422" t="s">
        <v>47</v>
      </c>
      <c r="O6" s="422" t="s">
        <v>48</v>
      </c>
      <c r="P6" s="422" t="s">
        <v>49</v>
      </c>
      <c r="Q6" s="422" t="s">
        <v>50</v>
      </c>
      <c r="R6" s="422" t="s">
        <v>51</v>
      </c>
    </row>
    <row r="7" spans="1:20" x14ac:dyDescent="0.3">
      <c r="A7" s="278" t="s">
        <v>190</v>
      </c>
      <c r="B7" s="1"/>
      <c r="C7" s="1"/>
      <c r="D7" s="1"/>
      <c r="E7" s="429">
        <f>'[7]К. Беляева 61в'!$D$71</f>
        <v>-2973705.09</v>
      </c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</row>
    <row r="8" spans="1:20" x14ac:dyDescent="0.3">
      <c r="A8" s="278" t="s">
        <v>371</v>
      </c>
      <c r="B8" s="1"/>
      <c r="C8" s="415"/>
      <c r="D8" s="1"/>
      <c r="E8" s="421">
        <f>'[3]2025'!$S$97</f>
        <v>68200</v>
      </c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</row>
    <row r="9" spans="1:20" x14ac:dyDescent="0.3">
      <c r="A9" s="278" t="s">
        <v>372</v>
      </c>
      <c r="B9" s="1"/>
      <c r="C9" s="1"/>
      <c r="D9" s="1"/>
      <c r="E9" s="421">
        <f>'МКД К.Беляева 61В'!G17</f>
        <v>708447.17</v>
      </c>
      <c r="F9" s="270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</row>
    <row r="10" spans="1:20" ht="14.55" customHeight="1" x14ac:dyDescent="0.3">
      <c r="A10" s="416" t="s">
        <v>355</v>
      </c>
      <c r="B10" s="1" t="s">
        <v>192</v>
      </c>
      <c r="C10" s="248">
        <v>252000</v>
      </c>
      <c r="D10" s="423" t="s">
        <v>193</v>
      </c>
      <c r="E10" s="426">
        <v>252000</v>
      </c>
      <c r="F10" s="269"/>
      <c r="G10" s="269"/>
      <c r="H10" s="269"/>
      <c r="I10" s="269"/>
      <c r="J10" s="269"/>
      <c r="K10" s="269"/>
      <c r="L10" s="250"/>
      <c r="M10" s="269"/>
      <c r="N10" s="269"/>
      <c r="O10" s="269"/>
      <c r="P10" s="269"/>
      <c r="Q10" s="269"/>
      <c r="R10" s="269"/>
    </row>
    <row r="11" spans="1:20" ht="19.5" customHeight="1" x14ac:dyDescent="0.3">
      <c r="A11" s="416" t="s">
        <v>356</v>
      </c>
      <c r="B11" s="1" t="s">
        <v>192</v>
      </c>
      <c r="C11" s="248">
        <v>113898.36</v>
      </c>
      <c r="D11" s="423" t="s">
        <v>357</v>
      </c>
      <c r="E11" s="427">
        <v>227796.7</v>
      </c>
      <c r="F11" s="269"/>
      <c r="G11" s="269"/>
      <c r="H11" s="269"/>
      <c r="I11" s="269"/>
      <c r="J11" s="269"/>
      <c r="K11" s="269"/>
      <c r="L11" s="250"/>
      <c r="M11" s="269"/>
      <c r="N11" s="269"/>
      <c r="O11" s="269"/>
      <c r="P11" s="269"/>
      <c r="Q11" s="269"/>
      <c r="R11" s="269"/>
    </row>
    <row r="12" spans="1:20" ht="13.5" customHeight="1" x14ac:dyDescent="0.3">
      <c r="A12" s="269" t="s">
        <v>358</v>
      </c>
      <c r="B12" s="269" t="s">
        <v>359</v>
      </c>
      <c r="C12" s="269">
        <v>8280</v>
      </c>
      <c r="D12" s="424" t="s">
        <v>360</v>
      </c>
      <c r="E12" s="427">
        <v>16560</v>
      </c>
      <c r="F12" s="269"/>
      <c r="G12" s="269"/>
      <c r="H12" s="269"/>
      <c r="I12" s="269"/>
      <c r="J12" s="269"/>
      <c r="K12" s="269"/>
      <c r="L12" s="269"/>
      <c r="M12" s="250"/>
      <c r="N12" s="269"/>
      <c r="O12" s="269"/>
      <c r="P12" s="269"/>
      <c r="Q12" s="269"/>
      <c r="R12" s="269"/>
    </row>
    <row r="13" spans="1:20" x14ac:dyDescent="0.3">
      <c r="A13" s="269" t="s">
        <v>361</v>
      </c>
      <c r="B13" s="269" t="s">
        <v>362</v>
      </c>
      <c r="C13" s="269">
        <v>580000</v>
      </c>
      <c r="D13" s="424" t="s">
        <v>363</v>
      </c>
      <c r="E13" s="427">
        <v>580000</v>
      </c>
      <c r="F13" s="269"/>
      <c r="G13" s="250"/>
      <c r="H13" s="250"/>
      <c r="I13" s="250"/>
      <c r="J13" s="250"/>
      <c r="K13" s="250"/>
      <c r="L13" s="250"/>
      <c r="M13" s="250"/>
      <c r="N13" s="250"/>
      <c r="O13" s="250"/>
      <c r="P13" s="269"/>
      <c r="Q13" s="269"/>
      <c r="R13" s="269"/>
    </row>
    <row r="14" spans="1:20" x14ac:dyDescent="0.3">
      <c r="A14" s="417" t="s">
        <v>364</v>
      </c>
      <c r="B14" s="1" t="s">
        <v>365</v>
      </c>
      <c r="C14" s="251">
        <v>78000</v>
      </c>
      <c r="D14" s="423" t="s">
        <v>365</v>
      </c>
      <c r="E14" s="427">
        <v>93600</v>
      </c>
      <c r="F14" s="269"/>
      <c r="G14" s="269"/>
      <c r="H14" s="269"/>
      <c r="I14" s="269"/>
      <c r="J14" s="269"/>
      <c r="K14" s="269"/>
      <c r="L14" s="250"/>
      <c r="M14" s="269"/>
      <c r="N14" s="269"/>
      <c r="O14" s="269"/>
      <c r="P14" s="269"/>
      <c r="Q14" s="269"/>
      <c r="R14" s="269"/>
    </row>
    <row r="15" spans="1:20" ht="18.75" customHeight="1" x14ac:dyDescent="0.3">
      <c r="A15" s="269" t="s">
        <v>366</v>
      </c>
      <c r="B15" s="1" t="s">
        <v>367</v>
      </c>
      <c r="C15" s="251">
        <v>157000</v>
      </c>
      <c r="D15" s="423" t="s">
        <v>368</v>
      </c>
      <c r="E15" s="426">
        <v>188400</v>
      </c>
      <c r="F15" s="269"/>
      <c r="G15" s="269"/>
      <c r="H15" s="269"/>
      <c r="I15" s="269"/>
      <c r="J15" s="269"/>
      <c r="K15" s="269"/>
      <c r="L15" s="269"/>
      <c r="M15" s="250"/>
      <c r="N15" s="250"/>
      <c r="O15" s="250"/>
      <c r="P15" s="269"/>
      <c r="Q15" s="269"/>
      <c r="R15" s="269"/>
    </row>
    <row r="16" spans="1:20" x14ac:dyDescent="0.3">
      <c r="A16" s="418" t="s">
        <v>322</v>
      </c>
      <c r="B16" s="419" t="s">
        <v>195</v>
      </c>
      <c r="C16" s="420">
        <v>70000</v>
      </c>
      <c r="D16" s="425" t="s">
        <v>195</v>
      </c>
      <c r="E16" s="428">
        <v>70000</v>
      </c>
      <c r="F16" s="269"/>
      <c r="G16" s="269"/>
      <c r="H16" s="269"/>
      <c r="I16" s="269"/>
      <c r="J16" s="269"/>
      <c r="K16" s="269"/>
      <c r="L16" s="250"/>
      <c r="M16" s="250"/>
      <c r="N16" s="250"/>
      <c r="O16" s="269"/>
      <c r="P16" s="269"/>
      <c r="Q16" s="269"/>
      <c r="R16" s="269"/>
    </row>
    <row r="17" spans="1:18" ht="18.75" hidden="1" customHeight="1" x14ac:dyDescent="0.3">
      <c r="A17" s="269"/>
      <c r="B17" s="269"/>
      <c r="C17" s="269"/>
      <c r="D17" s="269"/>
      <c r="E17" s="251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</row>
    <row r="18" spans="1:18" ht="18.75" hidden="1" customHeight="1" x14ac:dyDescent="0.3">
      <c r="A18" s="269"/>
      <c r="B18" s="269"/>
      <c r="C18" s="269"/>
      <c r="D18" s="269"/>
      <c r="E18" s="251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18" ht="18.75" hidden="1" customHeight="1" x14ac:dyDescent="0.3">
      <c r="A19" s="269"/>
      <c r="B19" s="269"/>
      <c r="C19" s="269"/>
      <c r="D19" s="269"/>
      <c r="E19" s="251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</row>
    <row r="20" spans="1:18" ht="18.75" hidden="1" customHeight="1" x14ac:dyDescent="0.3">
      <c r="A20" s="269"/>
      <c r="B20" s="269"/>
      <c r="C20" s="269"/>
      <c r="D20" s="269"/>
      <c r="E20" s="251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</row>
    <row r="21" spans="1:18" ht="18.75" customHeight="1" x14ac:dyDescent="0.3">
      <c r="A21" s="269" t="s">
        <v>369</v>
      </c>
      <c r="B21" s="269"/>
      <c r="C21" s="269"/>
      <c r="D21" s="269"/>
      <c r="E21" s="251">
        <f>SUM(E10:E20)</f>
        <v>1428356.7</v>
      </c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</row>
    <row r="22" spans="1:18" x14ac:dyDescent="0.3">
      <c r="A22" s="269"/>
      <c r="B22" s="269"/>
      <c r="C22" s="269"/>
      <c r="D22" s="269"/>
      <c r="E22" s="421">
        <f>E7+E8+E9-E21</f>
        <v>-3625414.62</v>
      </c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</row>
    <row r="25" spans="1:18" x14ac:dyDescent="0.3">
      <c r="E25" s="265" t="s">
        <v>370</v>
      </c>
    </row>
  </sheetData>
  <mergeCells count="9">
    <mergeCell ref="J2:R2"/>
    <mergeCell ref="A3:R3"/>
    <mergeCell ref="A5:A6"/>
    <mergeCell ref="B5:B6"/>
    <mergeCell ref="C5:C6"/>
    <mergeCell ref="D5:D6"/>
    <mergeCell ref="E5:E6"/>
    <mergeCell ref="F5:F6"/>
    <mergeCell ref="G5:R5"/>
  </mergeCells>
  <pageMargins left="0.25" right="0.25" top="0.75" bottom="0.75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5"/>
  <sheetViews>
    <sheetView workbookViewId="0">
      <selection sqref="A1:XFD1048576"/>
    </sheetView>
  </sheetViews>
  <sheetFormatPr defaultRowHeight="14.4" x14ac:dyDescent="0.3"/>
  <cols>
    <col min="1" max="1" width="19.77734375" customWidth="1"/>
    <col min="2" max="2" width="57.77734375" customWidth="1"/>
  </cols>
  <sheetData>
    <row r="1" spans="1:3" x14ac:dyDescent="0.3">
      <c r="A1" t="s">
        <v>0</v>
      </c>
      <c r="B1" t="s">
        <v>13</v>
      </c>
      <c r="C1" t="s">
        <v>4</v>
      </c>
    </row>
    <row r="2" spans="1:3" x14ac:dyDescent="0.3">
      <c r="A2" t="s">
        <v>2</v>
      </c>
      <c r="B2">
        <v>2017</v>
      </c>
      <c r="C2" t="s">
        <v>3</v>
      </c>
    </row>
    <row r="3" spans="1:3" x14ac:dyDescent="0.3">
      <c r="A3" t="s">
        <v>1</v>
      </c>
      <c r="B3">
        <v>1</v>
      </c>
    </row>
    <row r="4" spans="1:3" x14ac:dyDescent="0.3">
      <c r="A4" t="s">
        <v>2</v>
      </c>
      <c r="B4">
        <v>2017</v>
      </c>
      <c r="C4" t="s">
        <v>7</v>
      </c>
    </row>
    <row r="5" spans="1:3" x14ac:dyDescent="0.3">
      <c r="A5" t="s">
        <v>1</v>
      </c>
      <c r="B5">
        <v>12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"/>
  <sheetViews>
    <sheetView workbookViewId="0"/>
  </sheetViews>
  <sheetFormatPr defaultRowHeight="14.4" x14ac:dyDescent="0.3"/>
  <sheetData>
    <row r="1" spans="1:2" x14ac:dyDescent="0.3">
      <c r="A1" t="s">
        <v>5</v>
      </c>
      <c r="B1" t="s">
        <v>12</v>
      </c>
    </row>
    <row r="2" spans="1:2" x14ac:dyDescent="0.3">
      <c r="A2" t="s">
        <v>6</v>
      </c>
      <c r="B2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L43"/>
  <sheetViews>
    <sheetView zoomScale="55" zoomScaleNormal="55" workbookViewId="0">
      <selection activeCell="B59" sqref="B59"/>
    </sheetView>
  </sheetViews>
  <sheetFormatPr defaultColWidth="9.21875" defaultRowHeight="15.6" outlineLevelRow="3" x14ac:dyDescent="0.3"/>
  <cols>
    <col min="1" max="1" width="91.77734375" style="169" customWidth="1"/>
    <col min="2" max="2" width="15.21875" style="177" customWidth="1"/>
    <col min="3" max="3" width="16.77734375" style="178" customWidth="1"/>
    <col min="4" max="4" width="12" style="179" customWidth="1"/>
    <col min="5" max="5" width="19.21875" style="178" customWidth="1"/>
    <col min="6" max="6" width="8.77734375" style="2" hidden="1" customWidth="1"/>
    <col min="7" max="9" width="0" style="2" hidden="1" customWidth="1"/>
    <col min="10" max="14" width="14.77734375" style="2" hidden="1" customWidth="1"/>
    <col min="15" max="23" width="0" style="2" hidden="1" customWidth="1"/>
    <col min="24" max="36" width="8.5546875" style="2" hidden="1" customWidth="1"/>
    <col min="37" max="37" width="8.5546875" style="2" customWidth="1"/>
    <col min="38" max="38" width="22" style="2" customWidth="1"/>
    <col min="39" max="16384" width="9.21875" style="2"/>
  </cols>
  <sheetData>
    <row r="1" spans="1:34" ht="36.75" customHeight="1" x14ac:dyDescent="0.25">
      <c r="A1" s="488" t="s">
        <v>213</v>
      </c>
      <c r="B1" s="489"/>
      <c r="C1" s="489"/>
      <c r="D1" s="489"/>
      <c r="E1" s="489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34" s="4" customFormat="1" ht="60" customHeight="1" x14ac:dyDescent="0.35">
      <c r="A2" s="170" t="s">
        <v>8</v>
      </c>
      <c r="B2" s="171" t="s">
        <v>9</v>
      </c>
      <c r="C2" s="171" t="s">
        <v>149</v>
      </c>
      <c r="D2" s="171" t="s">
        <v>150</v>
      </c>
      <c r="E2" s="171" t="s">
        <v>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AH2" s="46">
        <v>12648.32</v>
      </c>
    </row>
    <row r="3" spans="1:34" ht="36" x14ac:dyDescent="0.35">
      <c r="A3" s="196" t="s">
        <v>179</v>
      </c>
      <c r="B3" s="197">
        <v>0.59</v>
      </c>
      <c r="C3" s="198">
        <v>12646.12</v>
      </c>
      <c r="D3" s="199">
        <v>12</v>
      </c>
      <c r="E3" s="199">
        <f t="shared" ref="E3:E32" si="0">B3*C3*D3</f>
        <v>89534.53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4" ht="18" hidden="1" outlineLevel="1" x14ac:dyDescent="0.35">
      <c r="A4" s="192" t="s">
        <v>156</v>
      </c>
      <c r="B4" s="189">
        <v>0.01</v>
      </c>
      <c r="C4" s="182">
        <f>C3</f>
        <v>12646.12</v>
      </c>
      <c r="D4" s="180">
        <v>12</v>
      </c>
      <c r="E4" s="180">
        <f t="shared" si="0"/>
        <v>1517.53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4" ht="36" hidden="1" outlineLevel="1" x14ac:dyDescent="0.35">
      <c r="A5" s="192" t="s">
        <v>157</v>
      </c>
      <c r="B5" s="189">
        <v>0.11</v>
      </c>
      <c r="C5" s="182">
        <f>C4</f>
        <v>12646.12</v>
      </c>
      <c r="D5" s="180" t="s">
        <v>14</v>
      </c>
      <c r="E5" s="180">
        <f t="shared" si="0"/>
        <v>16692.88</v>
      </c>
      <c r="F5" s="5"/>
      <c r="G5" s="5"/>
      <c r="H5" s="5"/>
      <c r="I5" s="6" t="s">
        <v>20</v>
      </c>
      <c r="J5" s="6"/>
      <c r="K5" s="6" t="s">
        <v>21</v>
      </c>
      <c r="L5" s="6" t="s">
        <v>22</v>
      </c>
      <c r="M5" s="6" t="s">
        <v>23</v>
      </c>
      <c r="N5" s="6" t="s">
        <v>24</v>
      </c>
      <c r="O5" s="6"/>
      <c r="P5" s="5"/>
      <c r="Q5" s="5"/>
      <c r="Y5" s="18"/>
      <c r="Z5" s="18"/>
    </row>
    <row r="6" spans="1:34" ht="36" hidden="1" outlineLevel="1" x14ac:dyDescent="0.35">
      <c r="A6" s="192" t="s">
        <v>158</v>
      </c>
      <c r="B6" s="189">
        <v>0.12</v>
      </c>
      <c r="C6" s="182">
        <f>C5</f>
        <v>12646.12</v>
      </c>
      <c r="D6" s="180" t="s">
        <v>14</v>
      </c>
      <c r="E6" s="180">
        <f>B6*C6*D6</f>
        <v>18210.41</v>
      </c>
      <c r="F6" s="5"/>
      <c r="G6" s="5"/>
      <c r="H6" s="5"/>
      <c r="I6" s="6"/>
      <c r="J6" s="6"/>
      <c r="K6" s="6"/>
      <c r="L6" s="6"/>
      <c r="M6" s="6"/>
      <c r="N6" s="6"/>
      <c r="O6" s="6"/>
      <c r="P6" s="5"/>
      <c r="Q6" s="5"/>
      <c r="Y6" s="18"/>
      <c r="Z6" s="18"/>
    </row>
    <row r="7" spans="1:34" ht="36" hidden="1" outlineLevel="1" x14ac:dyDescent="0.35">
      <c r="A7" s="192" t="s">
        <v>159</v>
      </c>
      <c r="B7" s="189">
        <v>0.03</v>
      </c>
      <c r="C7" s="182">
        <f t="shared" ref="C7:C9" si="1">C6</f>
        <v>12646.12</v>
      </c>
      <c r="D7" s="181">
        <v>12</v>
      </c>
      <c r="E7" s="180">
        <f t="shared" si="0"/>
        <v>4552.6000000000004</v>
      </c>
      <c r="F7" s="5"/>
      <c r="G7" s="5"/>
      <c r="H7" s="5"/>
      <c r="I7" s="6">
        <v>78000</v>
      </c>
      <c r="J7" s="7">
        <f>I7/'[1]тариф  2018 для печати'!$H$13</f>
        <v>1.52</v>
      </c>
      <c r="K7" s="7">
        <f>J7*K8</f>
        <v>0.61</v>
      </c>
      <c r="L7" s="7">
        <f>J7*L8</f>
        <v>0.46</v>
      </c>
      <c r="M7" s="7">
        <f>J7*M8</f>
        <v>0.3</v>
      </c>
      <c r="N7" s="7">
        <f>J7*N8</f>
        <v>0.15</v>
      </c>
      <c r="O7" s="6"/>
      <c r="P7" s="5"/>
      <c r="Q7" s="5"/>
      <c r="Y7" s="18"/>
      <c r="Z7" s="18"/>
    </row>
    <row r="8" spans="1:34" ht="17.25" hidden="1" customHeight="1" outlineLevel="1" x14ac:dyDescent="0.35">
      <c r="A8" s="192" t="s">
        <v>160</v>
      </c>
      <c r="B8" s="189">
        <v>0.15</v>
      </c>
      <c r="C8" s="182">
        <f t="shared" si="1"/>
        <v>12646.12</v>
      </c>
      <c r="D8" s="180" t="s">
        <v>14</v>
      </c>
      <c r="E8" s="180">
        <f>B8*C8*D8</f>
        <v>22763.02</v>
      </c>
      <c r="F8" s="5"/>
      <c r="G8" s="5"/>
      <c r="H8" s="5"/>
      <c r="I8" s="6"/>
      <c r="J8" s="6"/>
      <c r="K8" s="6">
        <v>0.4</v>
      </c>
      <c r="L8" s="6">
        <v>0.3</v>
      </c>
      <c r="M8" s="6">
        <v>0.2</v>
      </c>
      <c r="N8" s="6">
        <v>0.1</v>
      </c>
      <c r="O8" s="6"/>
      <c r="P8" s="5"/>
      <c r="Q8" s="5"/>
    </row>
    <row r="9" spans="1:34" ht="54" hidden="1" outlineLevel="1" x14ac:dyDescent="0.35">
      <c r="A9" s="192" t="s">
        <v>161</v>
      </c>
      <c r="B9" s="189">
        <v>0.11</v>
      </c>
      <c r="C9" s="182">
        <f t="shared" si="1"/>
        <v>12646.12</v>
      </c>
      <c r="D9" s="180" t="s">
        <v>14</v>
      </c>
      <c r="E9" s="180">
        <f t="shared" si="0"/>
        <v>16692.88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4" ht="54" collapsed="1" x14ac:dyDescent="0.35">
      <c r="A10" s="196" t="s">
        <v>155</v>
      </c>
      <c r="B10" s="197">
        <v>7</v>
      </c>
      <c r="C10" s="198">
        <f>C9</f>
        <v>12646.12</v>
      </c>
      <c r="D10" s="199" t="s">
        <v>14</v>
      </c>
      <c r="E10" s="199">
        <f t="shared" si="0"/>
        <v>1062274.08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Y10" s="18"/>
      <c r="Z10" s="18"/>
    </row>
    <row r="11" spans="1:34" ht="36" hidden="1" outlineLevel="2" x14ac:dyDescent="0.35">
      <c r="A11" s="192" t="s">
        <v>162</v>
      </c>
      <c r="B11" s="190">
        <v>0.25</v>
      </c>
      <c r="C11" s="182">
        <f>C9</f>
        <v>12646.12</v>
      </c>
      <c r="D11" s="180" t="s">
        <v>14</v>
      </c>
      <c r="E11" s="180">
        <f t="shared" si="0"/>
        <v>37938.36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34" ht="36" hidden="1" outlineLevel="2" x14ac:dyDescent="0.35">
      <c r="A12" s="192" t="s">
        <v>163</v>
      </c>
      <c r="B12" s="189">
        <v>1.65</v>
      </c>
      <c r="C12" s="182">
        <f>C11</f>
        <v>12646.12</v>
      </c>
      <c r="D12" s="180" t="s">
        <v>14</v>
      </c>
      <c r="E12" s="180">
        <f t="shared" si="0"/>
        <v>250393.18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34" ht="36" hidden="1" outlineLevel="2" x14ac:dyDescent="0.35">
      <c r="A13" s="192" t="s">
        <v>164</v>
      </c>
      <c r="B13" s="189">
        <v>0.16</v>
      </c>
      <c r="C13" s="182">
        <f t="shared" ref="C13:C16" si="2">C12</f>
        <v>12646.12</v>
      </c>
      <c r="D13" s="180" t="s">
        <v>14</v>
      </c>
      <c r="E13" s="180">
        <f t="shared" si="0"/>
        <v>24280.55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34" ht="54" hidden="1" outlineLevel="2" x14ac:dyDescent="0.35">
      <c r="A14" s="192" t="s">
        <v>165</v>
      </c>
      <c r="B14" s="189">
        <f>1.91-0.56</f>
        <v>1.35</v>
      </c>
      <c r="C14" s="182">
        <f t="shared" si="2"/>
        <v>12646.12</v>
      </c>
      <c r="D14" s="180" t="s">
        <v>14</v>
      </c>
      <c r="E14" s="180">
        <f t="shared" si="0"/>
        <v>204867.14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34" ht="54" hidden="1" outlineLevel="2" x14ac:dyDescent="0.35">
      <c r="A15" s="192" t="s">
        <v>166</v>
      </c>
      <c r="B15" s="189">
        <v>1.47</v>
      </c>
      <c r="C15" s="182">
        <f t="shared" si="2"/>
        <v>12646.12</v>
      </c>
      <c r="D15" s="180" t="s">
        <v>14</v>
      </c>
      <c r="E15" s="180">
        <f t="shared" si="0"/>
        <v>223077.56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34" ht="36" hidden="1" outlineLevel="2" x14ac:dyDescent="0.35">
      <c r="A16" s="192" t="s">
        <v>167</v>
      </c>
      <c r="B16" s="189">
        <v>1.37</v>
      </c>
      <c r="C16" s="182">
        <f t="shared" si="2"/>
        <v>12646.12</v>
      </c>
      <c r="D16" s="180" t="str">
        <f>D15</f>
        <v>12</v>
      </c>
      <c r="E16" s="180">
        <f t="shared" si="0"/>
        <v>207902.21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38" ht="36" collapsed="1" x14ac:dyDescent="0.35">
      <c r="A17" s="196" t="s">
        <v>168</v>
      </c>
      <c r="B17" s="197">
        <v>6.79</v>
      </c>
      <c r="C17" s="198">
        <f>C16</f>
        <v>12646.12</v>
      </c>
      <c r="D17" s="200">
        <v>12</v>
      </c>
      <c r="E17" s="199">
        <f t="shared" si="0"/>
        <v>1030405.86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Z17" s="18"/>
      <c r="AA17" s="18"/>
    </row>
    <row r="18" spans="1:38" ht="18.75" hidden="1" customHeight="1" x14ac:dyDescent="0.35">
      <c r="A18" s="192" t="s">
        <v>151</v>
      </c>
      <c r="B18" s="189">
        <v>0.55000000000000004</v>
      </c>
      <c r="C18" s="182">
        <v>13438.42</v>
      </c>
      <c r="D18" s="180" t="s">
        <v>14</v>
      </c>
      <c r="E18" s="180">
        <f t="shared" si="0"/>
        <v>88693.57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Y18" s="2">
        <f>Y17*12</f>
        <v>0</v>
      </c>
      <c r="Z18" s="18"/>
      <c r="AA18" s="18"/>
    </row>
    <row r="19" spans="1:38" ht="60" hidden="1" customHeight="1" outlineLevel="1" x14ac:dyDescent="0.35">
      <c r="A19" s="192" t="s">
        <v>152</v>
      </c>
      <c r="B19" s="190">
        <v>1.2</v>
      </c>
      <c r="C19" s="182">
        <f>C16</f>
        <v>12646.12</v>
      </c>
      <c r="D19" s="180" t="s">
        <v>14</v>
      </c>
      <c r="E19" s="180">
        <f t="shared" si="0"/>
        <v>182104.13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38" ht="36" hidden="1" outlineLevel="1" x14ac:dyDescent="0.35">
      <c r="A20" s="194" t="s">
        <v>153</v>
      </c>
      <c r="B20" s="195">
        <v>3.74</v>
      </c>
      <c r="C20" s="182">
        <f>C19</f>
        <v>12646.12</v>
      </c>
      <c r="D20" s="180" t="s">
        <v>14</v>
      </c>
      <c r="E20" s="180">
        <f t="shared" si="0"/>
        <v>567557.87</v>
      </c>
    </row>
    <row r="21" spans="1:38" ht="54" hidden="1" outlineLevel="1" x14ac:dyDescent="0.35">
      <c r="A21" s="192" t="s">
        <v>154</v>
      </c>
      <c r="B21" s="189">
        <v>0.06</v>
      </c>
      <c r="C21" s="182">
        <f t="shared" ref="C21:C26" si="3">C20</f>
        <v>12646.12</v>
      </c>
      <c r="D21" s="180" t="s">
        <v>14</v>
      </c>
      <c r="E21" s="180">
        <f t="shared" si="0"/>
        <v>9105.2099999999991</v>
      </c>
    </row>
    <row r="22" spans="1:38" ht="18" hidden="1" outlineLevel="1" x14ac:dyDescent="0.35">
      <c r="A22" s="192" t="s">
        <v>176</v>
      </c>
      <c r="B22" s="189">
        <v>0.01</v>
      </c>
      <c r="C22" s="182">
        <f t="shared" si="3"/>
        <v>12646.12</v>
      </c>
      <c r="D22" s="180" t="s">
        <v>14</v>
      </c>
      <c r="E22" s="180">
        <f t="shared" si="0"/>
        <v>1517.53</v>
      </c>
    </row>
    <row r="23" spans="1:38" ht="15" hidden="1" customHeight="1" outlineLevel="1" x14ac:dyDescent="0.35">
      <c r="A23" s="192" t="s">
        <v>177</v>
      </c>
      <c r="B23" s="189">
        <v>0.04</v>
      </c>
      <c r="C23" s="182">
        <f t="shared" si="3"/>
        <v>12646.12</v>
      </c>
      <c r="D23" s="180" t="s">
        <v>14</v>
      </c>
      <c r="E23" s="180">
        <f t="shared" si="0"/>
        <v>6070.14</v>
      </c>
    </row>
    <row r="24" spans="1:38" ht="36" hidden="1" outlineLevel="1" x14ac:dyDescent="0.35">
      <c r="A24" s="192" t="s">
        <v>178</v>
      </c>
      <c r="B24" s="189">
        <v>0.05</v>
      </c>
      <c r="C24" s="182">
        <f t="shared" si="3"/>
        <v>12646.12</v>
      </c>
      <c r="D24" s="180" t="s">
        <v>14</v>
      </c>
      <c r="E24" s="180">
        <f t="shared" si="0"/>
        <v>7587.67</v>
      </c>
    </row>
    <row r="25" spans="1:38" ht="18" hidden="1" outlineLevel="1" x14ac:dyDescent="0.35">
      <c r="A25" s="192" t="s">
        <v>169</v>
      </c>
      <c r="B25" s="189">
        <v>0.36</v>
      </c>
      <c r="C25" s="182">
        <f t="shared" si="3"/>
        <v>12646.12</v>
      </c>
      <c r="D25" s="180" t="s">
        <v>14</v>
      </c>
      <c r="E25" s="180">
        <f t="shared" si="0"/>
        <v>54631.24</v>
      </c>
    </row>
    <row r="26" spans="1:38" ht="72" hidden="1" outlineLevel="1" x14ac:dyDescent="0.35">
      <c r="A26" s="192" t="s">
        <v>170</v>
      </c>
      <c r="B26" s="189">
        <v>0.05</v>
      </c>
      <c r="C26" s="182">
        <f t="shared" si="3"/>
        <v>12646.12</v>
      </c>
      <c r="D26" s="193">
        <v>12</v>
      </c>
      <c r="E26" s="180">
        <f t="shared" si="0"/>
        <v>7587.67</v>
      </c>
    </row>
    <row r="27" spans="1:38" ht="72" collapsed="1" x14ac:dyDescent="0.35">
      <c r="A27" s="196" t="s">
        <v>180</v>
      </c>
      <c r="B27" s="201">
        <v>4.4800000000000004</v>
      </c>
      <c r="C27" s="198">
        <f t="shared" ref="C27:C32" si="4">C26</f>
        <v>12646.12</v>
      </c>
      <c r="D27" s="199" t="s">
        <v>14</v>
      </c>
      <c r="E27" s="199">
        <f t="shared" si="0"/>
        <v>679855.41</v>
      </c>
    </row>
    <row r="28" spans="1:38" ht="180" hidden="1" outlineLevel="3" x14ac:dyDescent="0.35">
      <c r="A28" s="192" t="s">
        <v>171</v>
      </c>
      <c r="B28" s="191">
        <v>2.16</v>
      </c>
      <c r="C28" s="182">
        <f t="shared" si="4"/>
        <v>12646.12</v>
      </c>
      <c r="D28" s="180" t="s">
        <v>14</v>
      </c>
      <c r="E28" s="180">
        <f t="shared" si="0"/>
        <v>327787.43</v>
      </c>
    </row>
    <row r="29" spans="1:38" ht="108" hidden="1" outlineLevel="3" x14ac:dyDescent="0.35">
      <c r="A29" s="192" t="s">
        <v>172</v>
      </c>
      <c r="B29" s="191">
        <v>0.51</v>
      </c>
      <c r="C29" s="182">
        <f t="shared" si="4"/>
        <v>12646.12</v>
      </c>
      <c r="D29" s="180" t="s">
        <v>14</v>
      </c>
      <c r="E29" s="180">
        <f t="shared" si="0"/>
        <v>77394.25</v>
      </c>
    </row>
    <row r="30" spans="1:38" ht="54" collapsed="1" x14ac:dyDescent="0.35">
      <c r="A30" s="196" t="s">
        <v>173</v>
      </c>
      <c r="B30" s="201">
        <v>6.24</v>
      </c>
      <c r="C30" s="198">
        <f t="shared" si="4"/>
        <v>12646.12</v>
      </c>
      <c r="D30" s="199" t="s">
        <v>14</v>
      </c>
      <c r="E30" s="199">
        <f t="shared" si="0"/>
        <v>946941.47</v>
      </c>
    </row>
    <row r="31" spans="1:38" ht="18" x14ac:dyDescent="0.35">
      <c r="A31" s="196" t="s">
        <v>175</v>
      </c>
      <c r="B31" s="197">
        <f>5.01-0.73</f>
        <v>4.28</v>
      </c>
      <c r="C31" s="198">
        <f t="shared" si="4"/>
        <v>12646.12</v>
      </c>
      <c r="D31" s="199" t="s">
        <v>14</v>
      </c>
      <c r="E31" s="199">
        <f t="shared" si="0"/>
        <v>649504.72</v>
      </c>
      <c r="AL31" s="175"/>
    </row>
    <row r="32" spans="1:38" ht="18" x14ac:dyDescent="0.35">
      <c r="A32" s="196" t="s">
        <v>174</v>
      </c>
      <c r="B32" s="201">
        <f>B31+B30+B27+B17+B10+B3</f>
        <v>29.38</v>
      </c>
      <c r="C32" s="198">
        <f t="shared" si="4"/>
        <v>12646.12</v>
      </c>
      <c r="D32" s="199" t="s">
        <v>14</v>
      </c>
      <c r="E32" s="199">
        <f t="shared" si="0"/>
        <v>4458516.07</v>
      </c>
    </row>
    <row r="33" spans="1:2" x14ac:dyDescent="0.3">
      <c r="A33" s="176"/>
    </row>
    <row r="34" spans="1:2" x14ac:dyDescent="0.3">
      <c r="A34" s="176"/>
      <c r="B34" s="177" t="s">
        <v>219</v>
      </c>
    </row>
    <row r="35" spans="1:2" x14ac:dyDescent="0.3">
      <c r="A35" s="176"/>
    </row>
    <row r="36" spans="1:2" x14ac:dyDescent="0.3">
      <c r="A36" s="176"/>
    </row>
    <row r="37" spans="1:2" x14ac:dyDescent="0.3">
      <c r="A37" s="176"/>
    </row>
    <row r="38" spans="1:2" x14ac:dyDescent="0.3">
      <c r="A38" s="176"/>
    </row>
    <row r="39" spans="1:2" x14ac:dyDescent="0.3">
      <c r="A39" s="176"/>
    </row>
    <row r="40" spans="1:2" x14ac:dyDescent="0.3">
      <c r="A40" s="176"/>
    </row>
    <row r="41" spans="1:2" x14ac:dyDescent="0.3">
      <c r="A41" s="176"/>
    </row>
    <row r="42" spans="1:2" x14ac:dyDescent="0.3">
      <c r="A42" s="176"/>
    </row>
    <row r="43" spans="1:2" x14ac:dyDescent="0.3">
      <c r="A43" s="176"/>
    </row>
  </sheetData>
  <mergeCells count="1">
    <mergeCell ref="A1:E1"/>
  </mergeCells>
  <dataValidations count="2">
    <dataValidation type="list" allowBlank="1" showInputMessage="1" showErrorMessage="1" sqref="A3:A65380">
      <formula1>Справочник_работ_и_услуг</formula1>
    </dataValidation>
    <dataValidation type="list" allowBlank="1" showInputMessage="1" showErrorMessage="1" sqref="A3:A65380">
      <formula1>#REF!</formula1>
    </dataValidation>
  </dataValidations>
  <pageMargins left="0.25" right="0.25" top="0.75" bottom="0.75" header="0.3" footer="0.3"/>
  <pageSetup paperSize="9" scale="92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zoomScale="55" zoomScaleNormal="55" workbookViewId="0">
      <selection activeCell="A40" sqref="A40"/>
    </sheetView>
  </sheetViews>
  <sheetFormatPr defaultColWidth="9.21875" defaultRowHeight="15.6" outlineLevelRow="1" x14ac:dyDescent="0.3"/>
  <cols>
    <col min="1" max="1" width="91.77734375" style="169" customWidth="1"/>
    <col min="2" max="2" width="15.21875" style="177" customWidth="1"/>
    <col min="3" max="3" width="16.77734375" style="178" customWidth="1"/>
    <col min="4" max="4" width="12" style="179" customWidth="1"/>
    <col min="5" max="5" width="19.21875" style="178" customWidth="1"/>
    <col min="6" max="6" width="12.21875" style="2" hidden="1" customWidth="1"/>
    <col min="7" max="7" width="16.44140625" style="2" hidden="1" customWidth="1"/>
    <col min="8" max="9" width="0" style="2" hidden="1" customWidth="1"/>
    <col min="10" max="14" width="14.77734375" style="2" hidden="1" customWidth="1"/>
    <col min="15" max="24" width="0" style="2" hidden="1" customWidth="1"/>
    <col min="25" max="25" width="15.77734375" style="2" hidden="1" customWidth="1"/>
    <col min="26" max="29" width="0" style="2" hidden="1" customWidth="1"/>
    <col min="30" max="30" width="9.21875" style="2"/>
    <col min="31" max="31" width="15.5546875" style="2" bestFit="1" customWidth="1"/>
    <col min="32" max="16384" width="9.21875" style="2"/>
  </cols>
  <sheetData>
    <row r="1" spans="1:26" ht="33" customHeight="1" x14ac:dyDescent="0.25">
      <c r="A1" s="488" t="s">
        <v>214</v>
      </c>
      <c r="B1" s="489"/>
      <c r="C1" s="489"/>
      <c r="D1" s="489"/>
      <c r="E1" s="489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</row>
    <row r="2" spans="1:26" s="4" customFormat="1" ht="60" customHeight="1" x14ac:dyDescent="0.25">
      <c r="A2" s="170" t="s">
        <v>8</v>
      </c>
      <c r="B2" s="171" t="s">
        <v>9</v>
      </c>
      <c r="C2" s="171" t="s">
        <v>149</v>
      </c>
      <c r="D2" s="171" t="s">
        <v>150</v>
      </c>
      <c r="E2" s="171" t="s">
        <v>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Y2" s="8">
        <v>12711.9</v>
      </c>
    </row>
    <row r="3" spans="1:26" ht="36" x14ac:dyDescent="0.35">
      <c r="A3" s="196" t="s">
        <v>179</v>
      </c>
      <c r="B3" s="197">
        <v>0.59</v>
      </c>
      <c r="C3" s="202">
        <f>$Y$2</f>
        <v>12711.9</v>
      </c>
      <c r="D3" s="199">
        <v>12</v>
      </c>
      <c r="E3" s="199">
        <f t="shared" ref="E3:E32" si="0">B3*C3*D3</f>
        <v>90000.25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6" ht="18" hidden="1" outlineLevel="1" x14ac:dyDescent="0.35">
      <c r="A4" s="192" t="s">
        <v>156</v>
      </c>
      <c r="B4" s="189">
        <v>0.01</v>
      </c>
      <c r="C4" s="203">
        <f>C3</f>
        <v>12711.9</v>
      </c>
      <c r="D4" s="180">
        <v>12</v>
      </c>
      <c r="E4" s="180">
        <f t="shared" si="0"/>
        <v>1525.43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6" ht="36" hidden="1" outlineLevel="1" x14ac:dyDescent="0.35">
      <c r="A5" s="192" t="s">
        <v>157</v>
      </c>
      <c r="B5" s="189">
        <v>0.11</v>
      </c>
      <c r="C5" s="203">
        <f>C4</f>
        <v>12711.9</v>
      </c>
      <c r="D5" s="180" t="s">
        <v>14</v>
      </c>
      <c r="E5" s="180">
        <f t="shared" si="0"/>
        <v>16779.71</v>
      </c>
      <c r="F5" s="5"/>
      <c r="G5" s="5"/>
      <c r="H5" s="5"/>
      <c r="I5" s="6" t="s">
        <v>20</v>
      </c>
      <c r="J5" s="6"/>
      <c r="K5" s="6" t="s">
        <v>21</v>
      </c>
      <c r="L5" s="6" t="s">
        <v>22</v>
      </c>
      <c r="M5" s="6" t="s">
        <v>23</v>
      </c>
      <c r="N5" s="6" t="s">
        <v>24</v>
      </c>
      <c r="O5" s="6"/>
      <c r="P5" s="5"/>
      <c r="Q5" s="5"/>
      <c r="Y5" s="18"/>
      <c r="Z5" s="18"/>
    </row>
    <row r="6" spans="1:26" ht="36" hidden="1" outlineLevel="1" x14ac:dyDescent="0.35">
      <c r="A6" s="192" t="s">
        <v>158</v>
      </c>
      <c r="B6" s="189">
        <v>0.12</v>
      </c>
      <c r="C6" s="203">
        <f t="shared" ref="C6:C9" si="1">C5</f>
        <v>12711.9</v>
      </c>
      <c r="D6" s="180" t="s">
        <v>14</v>
      </c>
      <c r="E6" s="180">
        <f>B6*C6*D6</f>
        <v>18305.14</v>
      </c>
      <c r="F6" s="5"/>
      <c r="G6" s="5"/>
      <c r="H6" s="5"/>
      <c r="I6" s="6"/>
      <c r="J6" s="6"/>
      <c r="K6" s="6"/>
      <c r="L6" s="6"/>
      <c r="M6" s="6"/>
      <c r="N6" s="6"/>
      <c r="O6" s="6"/>
      <c r="P6" s="5"/>
      <c r="Q6" s="5"/>
      <c r="Y6" s="18"/>
      <c r="Z6" s="18"/>
    </row>
    <row r="7" spans="1:26" ht="36" hidden="1" outlineLevel="1" x14ac:dyDescent="0.35">
      <c r="A7" s="192" t="s">
        <v>159</v>
      </c>
      <c r="B7" s="189">
        <v>0.03</v>
      </c>
      <c r="C7" s="203">
        <f t="shared" si="1"/>
        <v>12711.9</v>
      </c>
      <c r="D7" s="181">
        <v>12</v>
      </c>
      <c r="E7" s="180">
        <f t="shared" si="0"/>
        <v>4576.28</v>
      </c>
      <c r="F7" s="5"/>
      <c r="G7" s="5"/>
      <c r="H7" s="5"/>
      <c r="I7" s="6">
        <v>78000</v>
      </c>
      <c r="J7" s="7">
        <f>I7/'[1]тариф  2018 для печати'!$H$13</f>
        <v>1.52</v>
      </c>
      <c r="K7" s="7">
        <f>J7*K8</f>
        <v>0.61</v>
      </c>
      <c r="L7" s="7">
        <f>J7*L8</f>
        <v>0.46</v>
      </c>
      <c r="M7" s="7">
        <f>J7*M8</f>
        <v>0.3</v>
      </c>
      <c r="N7" s="7">
        <f>J7*N8</f>
        <v>0.15</v>
      </c>
      <c r="O7" s="6"/>
      <c r="P7" s="5"/>
      <c r="Q7" s="5"/>
      <c r="Y7" s="18"/>
      <c r="Z7" s="18"/>
    </row>
    <row r="8" spans="1:26" ht="17.25" hidden="1" customHeight="1" outlineLevel="1" x14ac:dyDescent="0.35">
      <c r="A8" s="192" t="s">
        <v>160</v>
      </c>
      <c r="B8" s="189">
        <v>0.15</v>
      </c>
      <c r="C8" s="203">
        <f t="shared" si="1"/>
        <v>12711.9</v>
      </c>
      <c r="D8" s="180" t="s">
        <v>14</v>
      </c>
      <c r="E8" s="180">
        <f>B8*C8*D8</f>
        <v>22881.42</v>
      </c>
      <c r="F8" s="5"/>
      <c r="G8" s="5"/>
      <c r="H8" s="5"/>
      <c r="I8" s="6"/>
      <c r="J8" s="6"/>
      <c r="K8" s="6">
        <v>0.4</v>
      </c>
      <c r="L8" s="6">
        <v>0.3</v>
      </c>
      <c r="M8" s="6">
        <v>0.2</v>
      </c>
      <c r="N8" s="6">
        <v>0.1</v>
      </c>
      <c r="O8" s="6"/>
      <c r="P8" s="5"/>
      <c r="Q8" s="5"/>
    </row>
    <row r="9" spans="1:26" ht="54" hidden="1" outlineLevel="1" x14ac:dyDescent="0.35">
      <c r="A9" s="192" t="s">
        <v>161</v>
      </c>
      <c r="B9" s="189">
        <v>0.11</v>
      </c>
      <c r="C9" s="203">
        <f t="shared" si="1"/>
        <v>12711.9</v>
      </c>
      <c r="D9" s="180" t="s">
        <v>14</v>
      </c>
      <c r="E9" s="180">
        <f t="shared" si="0"/>
        <v>16779.71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26" ht="54" collapsed="1" x14ac:dyDescent="0.35">
      <c r="A10" s="196" t="s">
        <v>155</v>
      </c>
      <c r="B10" s="201">
        <v>7</v>
      </c>
      <c r="C10" s="202">
        <f>C3</f>
        <v>12711.9</v>
      </c>
      <c r="D10" s="199" t="s">
        <v>14</v>
      </c>
      <c r="E10" s="199">
        <f t="shared" si="0"/>
        <v>1067799.6000000001</v>
      </c>
      <c r="F10" s="14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Y10" s="18"/>
      <c r="Z10" s="18"/>
    </row>
    <row r="11" spans="1:26" ht="36" hidden="1" outlineLevel="1" x14ac:dyDescent="0.35">
      <c r="A11" s="192" t="s">
        <v>162</v>
      </c>
      <c r="B11" s="190">
        <v>0.25</v>
      </c>
      <c r="C11" s="203">
        <f>C9</f>
        <v>12711.9</v>
      </c>
      <c r="D11" s="180" t="s">
        <v>14</v>
      </c>
      <c r="E11" s="180">
        <f t="shared" si="0"/>
        <v>38135.699999999997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26" ht="36" hidden="1" outlineLevel="1" x14ac:dyDescent="0.35">
      <c r="A12" s="192" t="s">
        <v>163</v>
      </c>
      <c r="B12" s="189">
        <v>1.65</v>
      </c>
      <c r="C12" s="203">
        <f>C11</f>
        <v>12711.9</v>
      </c>
      <c r="D12" s="180" t="s">
        <v>14</v>
      </c>
      <c r="E12" s="180">
        <f t="shared" si="0"/>
        <v>251695.62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26" ht="36" hidden="1" outlineLevel="1" x14ac:dyDescent="0.35">
      <c r="A13" s="192" t="s">
        <v>164</v>
      </c>
      <c r="B13" s="189">
        <v>0.16</v>
      </c>
      <c r="C13" s="203">
        <f t="shared" ref="C13:C16" si="2">C12</f>
        <v>12711.9</v>
      </c>
      <c r="D13" s="180" t="s">
        <v>14</v>
      </c>
      <c r="E13" s="180">
        <f t="shared" si="0"/>
        <v>24406.85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26" ht="54" hidden="1" outlineLevel="1" x14ac:dyDescent="0.35">
      <c r="A14" s="192" t="s">
        <v>165</v>
      </c>
      <c r="B14" s="189">
        <f>1.91-0.56</f>
        <v>1.35</v>
      </c>
      <c r="C14" s="203">
        <f t="shared" si="2"/>
        <v>12711.9</v>
      </c>
      <c r="D14" s="180" t="s">
        <v>14</v>
      </c>
      <c r="E14" s="180">
        <f t="shared" si="0"/>
        <v>205932.78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26" ht="54" hidden="1" outlineLevel="1" x14ac:dyDescent="0.35">
      <c r="A15" s="192" t="s">
        <v>166</v>
      </c>
      <c r="B15" s="189">
        <v>1.47</v>
      </c>
      <c r="C15" s="203">
        <f t="shared" si="2"/>
        <v>12711.9</v>
      </c>
      <c r="D15" s="180" t="s">
        <v>14</v>
      </c>
      <c r="E15" s="180">
        <f t="shared" si="0"/>
        <v>224237.92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26" ht="36" hidden="1" outlineLevel="1" x14ac:dyDescent="0.35">
      <c r="A16" s="192" t="s">
        <v>167</v>
      </c>
      <c r="B16" s="189">
        <v>1.37</v>
      </c>
      <c r="C16" s="203">
        <f t="shared" si="2"/>
        <v>12711.9</v>
      </c>
      <c r="D16" s="180" t="str">
        <f>D15</f>
        <v>12</v>
      </c>
      <c r="E16" s="180">
        <f t="shared" si="0"/>
        <v>208983.64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31" ht="36" collapsed="1" x14ac:dyDescent="0.35">
      <c r="A17" s="196" t="s">
        <v>168</v>
      </c>
      <c r="B17" s="197">
        <v>6.79</v>
      </c>
      <c r="C17" s="202">
        <f>C16</f>
        <v>12711.9</v>
      </c>
      <c r="D17" s="200">
        <v>12</v>
      </c>
      <c r="E17" s="199">
        <f t="shared" si="0"/>
        <v>1035765.61</v>
      </c>
      <c r="G17" s="18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31" ht="36" hidden="1" outlineLevel="1" x14ac:dyDescent="0.35">
      <c r="A18" s="192" t="s">
        <v>151</v>
      </c>
      <c r="B18" s="189">
        <v>0.55000000000000004</v>
      </c>
      <c r="C18" s="203">
        <f>C16</f>
        <v>12711.9</v>
      </c>
      <c r="D18" s="180" t="s">
        <v>14</v>
      </c>
      <c r="E18" s="180">
        <f t="shared" si="0"/>
        <v>83898.54</v>
      </c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31" ht="54" hidden="1" outlineLevel="1" x14ac:dyDescent="0.35">
      <c r="A19" s="192" t="s">
        <v>152</v>
      </c>
      <c r="B19" s="190">
        <v>1.2</v>
      </c>
      <c r="C19" s="203">
        <f>C18</f>
        <v>12711.9</v>
      </c>
      <c r="D19" s="180" t="s">
        <v>14</v>
      </c>
      <c r="E19" s="180">
        <f t="shared" si="0"/>
        <v>183051.36</v>
      </c>
    </row>
    <row r="20" spans="1:31" ht="36" hidden="1" outlineLevel="1" x14ac:dyDescent="0.35">
      <c r="A20" s="194" t="s">
        <v>153</v>
      </c>
      <c r="B20" s="195">
        <v>3.74</v>
      </c>
      <c r="C20" s="203">
        <f t="shared" ref="C20:C26" si="3">C19</f>
        <v>12711.9</v>
      </c>
      <c r="D20" s="180" t="s">
        <v>14</v>
      </c>
      <c r="E20" s="180">
        <f t="shared" si="0"/>
        <v>570510.06999999995</v>
      </c>
    </row>
    <row r="21" spans="1:31" ht="54" hidden="1" outlineLevel="1" x14ac:dyDescent="0.35">
      <c r="A21" s="192" t="s">
        <v>154</v>
      </c>
      <c r="B21" s="189">
        <v>0.06</v>
      </c>
      <c r="C21" s="203">
        <f t="shared" si="3"/>
        <v>12711.9</v>
      </c>
      <c r="D21" s="180" t="s">
        <v>14</v>
      </c>
      <c r="E21" s="180">
        <f t="shared" si="0"/>
        <v>9152.57</v>
      </c>
    </row>
    <row r="22" spans="1:31" ht="18" hidden="1" outlineLevel="1" x14ac:dyDescent="0.35">
      <c r="A22" s="192" t="s">
        <v>176</v>
      </c>
      <c r="B22" s="189">
        <v>0.01</v>
      </c>
      <c r="C22" s="203">
        <f t="shared" si="3"/>
        <v>12711.9</v>
      </c>
      <c r="D22" s="180" t="s">
        <v>14</v>
      </c>
      <c r="E22" s="180">
        <f t="shared" si="0"/>
        <v>1525.43</v>
      </c>
    </row>
    <row r="23" spans="1:31" ht="36" hidden="1" outlineLevel="1" x14ac:dyDescent="0.35">
      <c r="A23" s="192" t="s">
        <v>177</v>
      </c>
      <c r="B23" s="189">
        <v>0.04</v>
      </c>
      <c r="C23" s="203">
        <f t="shared" si="3"/>
        <v>12711.9</v>
      </c>
      <c r="D23" s="180" t="s">
        <v>14</v>
      </c>
      <c r="E23" s="180">
        <f t="shared" si="0"/>
        <v>6101.71</v>
      </c>
    </row>
    <row r="24" spans="1:31" ht="36" hidden="1" outlineLevel="1" x14ac:dyDescent="0.35">
      <c r="A24" s="192" t="s">
        <v>178</v>
      </c>
      <c r="B24" s="189">
        <v>0.05</v>
      </c>
      <c r="C24" s="203">
        <f t="shared" si="3"/>
        <v>12711.9</v>
      </c>
      <c r="D24" s="180" t="s">
        <v>14</v>
      </c>
      <c r="E24" s="180">
        <f t="shared" si="0"/>
        <v>7627.14</v>
      </c>
    </row>
    <row r="25" spans="1:31" ht="18" hidden="1" outlineLevel="1" x14ac:dyDescent="0.35">
      <c r="A25" s="192" t="s">
        <v>169</v>
      </c>
      <c r="B25" s="189">
        <v>0.36</v>
      </c>
      <c r="C25" s="203">
        <f t="shared" si="3"/>
        <v>12711.9</v>
      </c>
      <c r="D25" s="180" t="s">
        <v>14</v>
      </c>
      <c r="E25" s="180">
        <f t="shared" si="0"/>
        <v>54915.41</v>
      </c>
    </row>
    <row r="26" spans="1:31" ht="72" hidden="1" outlineLevel="1" x14ac:dyDescent="0.35">
      <c r="A26" s="192" t="s">
        <v>170</v>
      </c>
      <c r="B26" s="189">
        <v>0.05</v>
      </c>
      <c r="C26" s="203">
        <f t="shared" si="3"/>
        <v>12711.9</v>
      </c>
      <c r="D26" s="193">
        <v>12</v>
      </c>
      <c r="E26" s="180">
        <f t="shared" si="0"/>
        <v>7627.14</v>
      </c>
    </row>
    <row r="27" spans="1:31" ht="72" collapsed="1" x14ac:dyDescent="0.35">
      <c r="A27" s="196" t="s">
        <v>180</v>
      </c>
      <c r="B27" s="201">
        <v>4.4800000000000004</v>
      </c>
      <c r="C27" s="202">
        <f>C26</f>
        <v>12711.9</v>
      </c>
      <c r="D27" s="199" t="s">
        <v>14</v>
      </c>
      <c r="E27" s="199">
        <f t="shared" si="0"/>
        <v>683391.74</v>
      </c>
    </row>
    <row r="28" spans="1:31" ht="180" hidden="1" outlineLevel="1" x14ac:dyDescent="0.35">
      <c r="A28" s="192" t="s">
        <v>171</v>
      </c>
      <c r="B28" s="191">
        <v>2.16</v>
      </c>
      <c r="C28" s="203">
        <f>C26</f>
        <v>12711.9</v>
      </c>
      <c r="D28" s="180" t="s">
        <v>14</v>
      </c>
      <c r="E28" s="180">
        <f t="shared" si="0"/>
        <v>329492.45</v>
      </c>
    </row>
    <row r="29" spans="1:31" ht="108" hidden="1" outlineLevel="1" x14ac:dyDescent="0.35">
      <c r="A29" s="192" t="s">
        <v>172</v>
      </c>
      <c r="B29" s="191">
        <v>0.51</v>
      </c>
      <c r="C29" s="203">
        <f>C28</f>
        <v>12711.9</v>
      </c>
      <c r="D29" s="180" t="s">
        <v>14</v>
      </c>
      <c r="E29" s="180">
        <f t="shared" si="0"/>
        <v>77796.83</v>
      </c>
    </row>
    <row r="30" spans="1:31" ht="54" collapsed="1" x14ac:dyDescent="0.35">
      <c r="A30" s="196" t="s">
        <v>173</v>
      </c>
      <c r="B30" s="201">
        <v>6.24</v>
      </c>
      <c r="C30" s="202">
        <f>C29</f>
        <v>12711.9</v>
      </c>
      <c r="D30" s="199" t="s">
        <v>14</v>
      </c>
      <c r="E30" s="199">
        <f t="shared" si="0"/>
        <v>951867.07</v>
      </c>
    </row>
    <row r="31" spans="1:31" ht="18" x14ac:dyDescent="0.35">
      <c r="A31" s="196" t="s">
        <v>175</v>
      </c>
      <c r="B31" s="197">
        <f>5.01-0.73</f>
        <v>4.28</v>
      </c>
      <c r="C31" s="202">
        <f>C30</f>
        <v>12711.9</v>
      </c>
      <c r="D31" s="199" t="s">
        <v>14</v>
      </c>
      <c r="E31" s="199">
        <f t="shared" si="0"/>
        <v>652883.18000000005</v>
      </c>
      <c r="AE31" s="175"/>
    </row>
    <row r="32" spans="1:31" ht="18" x14ac:dyDescent="0.35">
      <c r="A32" s="196" t="s">
        <v>174</v>
      </c>
      <c r="B32" s="201">
        <f>B31+B30+B27+B17+B10+B3</f>
        <v>29.38</v>
      </c>
      <c r="C32" s="202">
        <f>C31</f>
        <v>12711.9</v>
      </c>
      <c r="D32" s="199" t="s">
        <v>14</v>
      </c>
      <c r="E32" s="199">
        <f t="shared" si="0"/>
        <v>4481707.46</v>
      </c>
    </row>
    <row r="33" spans="1:1" x14ac:dyDescent="0.3">
      <c r="A33" s="176"/>
    </row>
    <row r="34" spans="1:1" x14ac:dyDescent="0.3">
      <c r="A34" s="176"/>
    </row>
    <row r="35" spans="1:1" x14ac:dyDescent="0.3">
      <c r="A35" s="176"/>
    </row>
    <row r="36" spans="1:1" x14ac:dyDescent="0.3">
      <c r="A36" s="176"/>
    </row>
    <row r="37" spans="1:1" x14ac:dyDescent="0.3">
      <c r="A37" s="176"/>
    </row>
    <row r="38" spans="1:1" x14ac:dyDescent="0.3">
      <c r="A38" s="176"/>
    </row>
    <row r="39" spans="1:1" x14ac:dyDescent="0.3">
      <c r="A39" s="176"/>
    </row>
    <row r="40" spans="1:1" x14ac:dyDescent="0.3">
      <c r="A40" s="176"/>
    </row>
    <row r="41" spans="1:1" x14ac:dyDescent="0.3">
      <c r="A41" s="176"/>
    </row>
    <row r="42" spans="1:1" x14ac:dyDescent="0.3">
      <c r="A42" s="176"/>
    </row>
    <row r="43" spans="1:1" x14ac:dyDescent="0.3">
      <c r="A43" s="176"/>
    </row>
  </sheetData>
  <mergeCells count="2">
    <mergeCell ref="A1:E1"/>
    <mergeCell ref="F1:Q1"/>
  </mergeCells>
  <dataValidations count="2">
    <dataValidation type="list" allowBlank="1" showInputMessage="1" showErrorMessage="1" sqref="A3:A65380">
      <formula1>Справочник_работ_и_услуг</formula1>
    </dataValidation>
    <dataValidation type="list" allowBlank="1" showInputMessage="1" showErrorMessage="1" sqref="A3:A65380">
      <formula1>#REF!</formula1>
    </dataValidation>
  </dataValidations>
  <pageMargins left="0.25" right="0.25" top="0.75" bottom="0.75" header="0.3" footer="0.3"/>
  <pageSetup paperSize="9" scale="92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43"/>
  <sheetViews>
    <sheetView zoomScale="55" zoomScaleNormal="55" workbookViewId="0">
      <selection activeCell="C3" sqref="C3"/>
    </sheetView>
  </sheetViews>
  <sheetFormatPr defaultColWidth="9.21875" defaultRowHeight="15.6" outlineLevelRow="3" x14ac:dyDescent="0.3"/>
  <cols>
    <col min="1" max="1" width="91.77734375" style="169" customWidth="1"/>
    <col min="2" max="2" width="15.21875" style="177" customWidth="1"/>
    <col min="3" max="3" width="16.77734375" style="178" customWidth="1"/>
    <col min="4" max="4" width="12" style="179" customWidth="1"/>
    <col min="5" max="5" width="19.21875" style="178" customWidth="1"/>
    <col min="6" max="6" width="12.21875" style="2" hidden="1" customWidth="1"/>
    <col min="7" max="7" width="13.21875" style="2" hidden="1" customWidth="1"/>
    <col min="8" max="9" width="0" style="2" hidden="1" customWidth="1"/>
    <col min="10" max="14" width="14.77734375" style="2" hidden="1" customWidth="1"/>
    <col min="15" max="24" width="0" style="2" hidden="1" customWidth="1"/>
    <col min="25" max="25" width="17.77734375" style="2" hidden="1" customWidth="1"/>
    <col min="26" max="28" width="0" style="2" hidden="1" customWidth="1"/>
    <col min="29" max="29" width="9.21875" style="2"/>
    <col min="30" max="30" width="19.77734375" style="2" customWidth="1"/>
    <col min="31" max="16384" width="9.21875" style="2"/>
  </cols>
  <sheetData>
    <row r="1" spans="1:26" ht="36.75" customHeight="1" x14ac:dyDescent="0.25">
      <c r="A1" s="488" t="s">
        <v>215</v>
      </c>
      <c r="B1" s="489"/>
      <c r="C1" s="489"/>
      <c r="D1" s="489"/>
      <c r="E1" s="489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</row>
    <row r="2" spans="1:26" s="4" customFormat="1" ht="60" customHeight="1" x14ac:dyDescent="0.25">
      <c r="A2" s="170" t="s">
        <v>8</v>
      </c>
      <c r="B2" s="171" t="s">
        <v>9</v>
      </c>
      <c r="C2" s="171" t="s">
        <v>149</v>
      </c>
      <c r="D2" s="171" t="s">
        <v>150</v>
      </c>
      <c r="E2" s="171" t="s">
        <v>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Y2" s="8">
        <v>12944.48</v>
      </c>
    </row>
    <row r="3" spans="1:26" ht="36" x14ac:dyDescent="0.35">
      <c r="A3" s="196" t="s">
        <v>179</v>
      </c>
      <c r="B3" s="197">
        <v>0.59</v>
      </c>
      <c r="C3" s="202">
        <v>12942.68</v>
      </c>
      <c r="D3" s="199">
        <v>12</v>
      </c>
      <c r="E3" s="199">
        <f t="shared" ref="E3:E32" si="0">B3*C3*D3</f>
        <v>91634.17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6" ht="18" hidden="1" outlineLevel="1" x14ac:dyDescent="0.35">
      <c r="A4" s="192" t="s">
        <v>156</v>
      </c>
      <c r="B4" s="189">
        <v>0.01</v>
      </c>
      <c r="C4" s="203">
        <f>C3</f>
        <v>12942.68</v>
      </c>
      <c r="D4" s="180">
        <v>12</v>
      </c>
      <c r="E4" s="180">
        <f t="shared" si="0"/>
        <v>1553.12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6" ht="36" hidden="1" outlineLevel="1" x14ac:dyDescent="0.35">
      <c r="A5" s="192" t="s">
        <v>157</v>
      </c>
      <c r="B5" s="189">
        <v>0.11</v>
      </c>
      <c r="C5" s="203">
        <f>C4</f>
        <v>12942.68</v>
      </c>
      <c r="D5" s="180" t="s">
        <v>14</v>
      </c>
      <c r="E5" s="180">
        <f t="shared" si="0"/>
        <v>17084.34</v>
      </c>
      <c r="F5" s="5"/>
      <c r="G5" s="5"/>
      <c r="H5" s="5"/>
      <c r="I5" s="6" t="s">
        <v>20</v>
      </c>
      <c r="J5" s="6"/>
      <c r="K5" s="6" t="s">
        <v>21</v>
      </c>
      <c r="L5" s="6" t="s">
        <v>22</v>
      </c>
      <c r="M5" s="6" t="s">
        <v>23</v>
      </c>
      <c r="N5" s="6" t="s">
        <v>24</v>
      </c>
      <c r="O5" s="6"/>
      <c r="P5" s="5"/>
      <c r="Q5" s="5"/>
      <c r="Y5" s="18"/>
      <c r="Z5" s="18"/>
    </row>
    <row r="6" spans="1:26" ht="36" hidden="1" outlineLevel="1" x14ac:dyDescent="0.35">
      <c r="A6" s="192" t="s">
        <v>158</v>
      </c>
      <c r="B6" s="189">
        <v>0.12</v>
      </c>
      <c r="C6" s="203">
        <f t="shared" ref="C6:C9" si="1">C5</f>
        <v>12942.68</v>
      </c>
      <c r="D6" s="180" t="s">
        <v>14</v>
      </c>
      <c r="E6" s="180">
        <f>B6*C6*D6</f>
        <v>18637.46</v>
      </c>
      <c r="F6" s="5"/>
      <c r="G6" s="5"/>
      <c r="H6" s="5"/>
      <c r="I6" s="6"/>
      <c r="J6" s="6"/>
      <c r="K6" s="6"/>
      <c r="L6" s="6"/>
      <c r="M6" s="6"/>
      <c r="N6" s="6"/>
      <c r="O6" s="6"/>
      <c r="P6" s="5"/>
      <c r="Q6" s="5"/>
      <c r="Y6" s="18"/>
      <c r="Z6" s="18"/>
    </row>
    <row r="7" spans="1:26" ht="36" hidden="1" outlineLevel="1" x14ac:dyDescent="0.35">
      <c r="A7" s="192" t="s">
        <v>159</v>
      </c>
      <c r="B7" s="189">
        <v>0.03</v>
      </c>
      <c r="C7" s="203">
        <f t="shared" si="1"/>
        <v>12942.68</v>
      </c>
      <c r="D7" s="181">
        <v>12</v>
      </c>
      <c r="E7" s="180">
        <f t="shared" si="0"/>
        <v>4659.3599999999997</v>
      </c>
      <c r="F7" s="5"/>
      <c r="G7" s="5"/>
      <c r="H7" s="5"/>
      <c r="I7" s="6">
        <v>78000</v>
      </c>
      <c r="J7" s="7">
        <f>I7/'[1]тариф  2018 для печати'!$H$13</f>
        <v>1.52</v>
      </c>
      <c r="K7" s="7">
        <f>J7*K8</f>
        <v>0.61</v>
      </c>
      <c r="L7" s="7">
        <f>J7*L8</f>
        <v>0.46</v>
      </c>
      <c r="M7" s="7">
        <f>J7*M8</f>
        <v>0.3</v>
      </c>
      <c r="N7" s="7">
        <f>J7*N8</f>
        <v>0.15</v>
      </c>
      <c r="O7" s="6"/>
      <c r="P7" s="5"/>
      <c r="Q7" s="5"/>
      <c r="Y7" s="18"/>
      <c r="Z7" s="18"/>
    </row>
    <row r="8" spans="1:26" ht="17.25" hidden="1" customHeight="1" outlineLevel="1" x14ac:dyDescent="0.35">
      <c r="A8" s="192" t="s">
        <v>160</v>
      </c>
      <c r="B8" s="189">
        <v>0.15</v>
      </c>
      <c r="C8" s="203">
        <f t="shared" si="1"/>
        <v>12942.68</v>
      </c>
      <c r="D8" s="180" t="s">
        <v>14</v>
      </c>
      <c r="E8" s="180">
        <f>B8*C8*D8</f>
        <v>23296.82</v>
      </c>
      <c r="F8" s="5"/>
      <c r="G8" s="5"/>
      <c r="H8" s="5"/>
      <c r="I8" s="6"/>
      <c r="J8" s="6"/>
      <c r="K8" s="6">
        <v>0.4</v>
      </c>
      <c r="L8" s="6">
        <v>0.3</v>
      </c>
      <c r="M8" s="6">
        <v>0.2</v>
      </c>
      <c r="N8" s="6">
        <v>0.1</v>
      </c>
      <c r="O8" s="6"/>
      <c r="P8" s="5"/>
      <c r="Q8" s="5"/>
    </row>
    <row r="9" spans="1:26" ht="54" hidden="1" outlineLevel="1" x14ac:dyDescent="0.35">
      <c r="A9" s="192" t="s">
        <v>161</v>
      </c>
      <c r="B9" s="189">
        <v>0.11</v>
      </c>
      <c r="C9" s="203">
        <f t="shared" si="1"/>
        <v>12942.68</v>
      </c>
      <c r="D9" s="180" t="s">
        <v>14</v>
      </c>
      <c r="E9" s="180">
        <f t="shared" si="0"/>
        <v>17084.34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26" ht="54" collapsed="1" x14ac:dyDescent="0.35">
      <c r="A10" s="196" t="s">
        <v>155</v>
      </c>
      <c r="B10" s="201">
        <v>7</v>
      </c>
      <c r="C10" s="202">
        <f>C9</f>
        <v>12942.68</v>
      </c>
      <c r="D10" s="199" t="s">
        <v>14</v>
      </c>
      <c r="E10" s="199">
        <f t="shared" si="0"/>
        <v>1087185.1200000001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Y10" s="18"/>
      <c r="Z10" s="18"/>
    </row>
    <row r="11" spans="1:26" ht="36" hidden="1" outlineLevel="1" x14ac:dyDescent="0.35">
      <c r="A11" s="192" t="s">
        <v>162</v>
      </c>
      <c r="B11" s="190">
        <v>0.25</v>
      </c>
      <c r="C11" s="203">
        <f>C10</f>
        <v>12942.68</v>
      </c>
      <c r="D11" s="180" t="s">
        <v>14</v>
      </c>
      <c r="E11" s="180">
        <f t="shared" si="0"/>
        <v>38828.04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26" ht="36" hidden="1" outlineLevel="1" x14ac:dyDescent="0.35">
      <c r="A12" s="192" t="s">
        <v>163</v>
      </c>
      <c r="B12" s="189">
        <v>1.65</v>
      </c>
      <c r="C12" s="203">
        <f t="shared" ref="C12:C16" si="2">C11</f>
        <v>12942.68</v>
      </c>
      <c r="D12" s="180" t="s">
        <v>14</v>
      </c>
      <c r="E12" s="180">
        <f t="shared" si="0"/>
        <v>256265.06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26" ht="36" hidden="1" outlineLevel="1" x14ac:dyDescent="0.35">
      <c r="A13" s="192" t="s">
        <v>164</v>
      </c>
      <c r="B13" s="189">
        <v>0.16</v>
      </c>
      <c r="C13" s="203">
        <f t="shared" si="2"/>
        <v>12942.68</v>
      </c>
      <c r="D13" s="180" t="s">
        <v>14</v>
      </c>
      <c r="E13" s="180">
        <f t="shared" si="0"/>
        <v>24849.95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26" ht="54" hidden="1" outlineLevel="1" x14ac:dyDescent="0.35">
      <c r="A14" s="192" t="s">
        <v>165</v>
      </c>
      <c r="B14" s="189">
        <f>1.91-0.56</f>
        <v>1.35</v>
      </c>
      <c r="C14" s="203">
        <f t="shared" si="2"/>
        <v>12942.68</v>
      </c>
      <c r="D14" s="180" t="s">
        <v>14</v>
      </c>
      <c r="E14" s="180">
        <f t="shared" si="0"/>
        <v>209671.42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26" ht="54" hidden="1" outlineLevel="1" x14ac:dyDescent="0.35">
      <c r="A15" s="192" t="s">
        <v>166</v>
      </c>
      <c r="B15" s="189">
        <v>1.47</v>
      </c>
      <c r="C15" s="203">
        <f t="shared" si="2"/>
        <v>12942.68</v>
      </c>
      <c r="D15" s="180" t="s">
        <v>14</v>
      </c>
      <c r="E15" s="180">
        <f t="shared" si="0"/>
        <v>228308.88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26" ht="36" hidden="1" outlineLevel="1" x14ac:dyDescent="0.35">
      <c r="A16" s="192" t="s">
        <v>167</v>
      </c>
      <c r="B16" s="189">
        <v>1.37</v>
      </c>
      <c r="C16" s="203">
        <f t="shared" si="2"/>
        <v>12942.68</v>
      </c>
      <c r="D16" s="180" t="str">
        <f>D15</f>
        <v>12</v>
      </c>
      <c r="E16" s="180">
        <f t="shared" si="0"/>
        <v>212777.66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30" ht="36" collapsed="1" x14ac:dyDescent="0.35">
      <c r="A17" s="196" t="s">
        <v>168</v>
      </c>
      <c r="B17" s="197">
        <v>6.79</v>
      </c>
      <c r="C17" s="202">
        <f>C16</f>
        <v>12942.68</v>
      </c>
      <c r="D17" s="200">
        <v>12</v>
      </c>
      <c r="E17" s="199">
        <f t="shared" si="0"/>
        <v>1054569.57</v>
      </c>
      <c r="F17" s="2">
        <v>1.0900000000000001</v>
      </c>
      <c r="G17" s="18">
        <f>F17*C17</f>
        <v>14107.52</v>
      </c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30" ht="36" hidden="1" outlineLevel="3" x14ac:dyDescent="0.35">
      <c r="A18" s="192" t="s">
        <v>151</v>
      </c>
      <c r="B18" s="189">
        <v>0.55000000000000004</v>
      </c>
      <c r="C18" s="203">
        <f>C17</f>
        <v>12942.68</v>
      </c>
      <c r="D18" s="180" t="s">
        <v>14</v>
      </c>
      <c r="E18" s="180">
        <f t="shared" si="0"/>
        <v>85421.69</v>
      </c>
      <c r="G18" s="2">
        <f>G17*12</f>
        <v>169290.23999999999</v>
      </c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30" ht="54" hidden="1" outlineLevel="3" x14ac:dyDescent="0.35">
      <c r="A19" s="192" t="s">
        <v>152</v>
      </c>
      <c r="B19" s="190">
        <v>1.2</v>
      </c>
      <c r="C19" s="203">
        <f t="shared" ref="C19:C26" si="3">C18</f>
        <v>12942.68</v>
      </c>
      <c r="D19" s="180" t="s">
        <v>14</v>
      </c>
      <c r="E19" s="180">
        <f t="shared" si="0"/>
        <v>186374.59</v>
      </c>
    </row>
    <row r="20" spans="1:30" ht="36" hidden="1" outlineLevel="3" x14ac:dyDescent="0.35">
      <c r="A20" s="194" t="s">
        <v>153</v>
      </c>
      <c r="B20" s="195">
        <v>3.74</v>
      </c>
      <c r="C20" s="203">
        <f t="shared" si="3"/>
        <v>12942.68</v>
      </c>
      <c r="D20" s="180" t="s">
        <v>14</v>
      </c>
      <c r="E20" s="180">
        <f t="shared" si="0"/>
        <v>580867.48</v>
      </c>
    </row>
    <row r="21" spans="1:30" ht="54" hidden="1" outlineLevel="3" x14ac:dyDescent="0.35">
      <c r="A21" s="192" t="s">
        <v>154</v>
      </c>
      <c r="B21" s="189">
        <v>0.06</v>
      </c>
      <c r="C21" s="203">
        <f t="shared" si="3"/>
        <v>12942.68</v>
      </c>
      <c r="D21" s="180" t="s">
        <v>14</v>
      </c>
      <c r="E21" s="180">
        <f t="shared" si="0"/>
        <v>9318.73</v>
      </c>
    </row>
    <row r="22" spans="1:30" ht="18" hidden="1" outlineLevel="3" x14ac:dyDescent="0.35">
      <c r="A22" s="192" t="s">
        <v>176</v>
      </c>
      <c r="B22" s="189">
        <v>0.01</v>
      </c>
      <c r="C22" s="203">
        <f t="shared" si="3"/>
        <v>12942.68</v>
      </c>
      <c r="D22" s="180" t="s">
        <v>14</v>
      </c>
      <c r="E22" s="180">
        <f t="shared" si="0"/>
        <v>1553.12</v>
      </c>
    </row>
    <row r="23" spans="1:30" ht="36" hidden="1" outlineLevel="3" x14ac:dyDescent="0.35">
      <c r="A23" s="192" t="s">
        <v>177</v>
      </c>
      <c r="B23" s="189">
        <v>0.04</v>
      </c>
      <c r="C23" s="203">
        <f t="shared" si="3"/>
        <v>12942.68</v>
      </c>
      <c r="D23" s="180" t="s">
        <v>14</v>
      </c>
      <c r="E23" s="180">
        <f t="shared" si="0"/>
        <v>6212.49</v>
      </c>
    </row>
    <row r="24" spans="1:30" ht="36" hidden="1" outlineLevel="3" x14ac:dyDescent="0.35">
      <c r="A24" s="192" t="s">
        <v>178</v>
      </c>
      <c r="B24" s="189">
        <v>0.05</v>
      </c>
      <c r="C24" s="203">
        <f t="shared" si="3"/>
        <v>12942.68</v>
      </c>
      <c r="D24" s="180" t="s">
        <v>14</v>
      </c>
      <c r="E24" s="180">
        <f t="shared" si="0"/>
        <v>7765.61</v>
      </c>
    </row>
    <row r="25" spans="1:30" ht="18" hidden="1" outlineLevel="3" x14ac:dyDescent="0.35">
      <c r="A25" s="192" t="s">
        <v>169</v>
      </c>
      <c r="B25" s="189">
        <v>0.36</v>
      </c>
      <c r="C25" s="203">
        <f t="shared" si="3"/>
        <v>12942.68</v>
      </c>
      <c r="D25" s="180" t="s">
        <v>14</v>
      </c>
      <c r="E25" s="180">
        <f t="shared" si="0"/>
        <v>55912.38</v>
      </c>
    </row>
    <row r="26" spans="1:30" ht="72" hidden="1" outlineLevel="3" x14ac:dyDescent="0.35">
      <c r="A26" s="192" t="s">
        <v>170</v>
      </c>
      <c r="B26" s="189">
        <v>0.05</v>
      </c>
      <c r="C26" s="203">
        <f t="shared" si="3"/>
        <v>12942.68</v>
      </c>
      <c r="D26" s="193">
        <v>12</v>
      </c>
      <c r="E26" s="180">
        <f t="shared" si="0"/>
        <v>7765.61</v>
      </c>
    </row>
    <row r="27" spans="1:30" ht="72" collapsed="1" x14ac:dyDescent="0.35">
      <c r="A27" s="196" t="s">
        <v>180</v>
      </c>
      <c r="B27" s="201">
        <v>4.4800000000000004</v>
      </c>
      <c r="C27" s="202">
        <f>C26</f>
        <v>12942.68</v>
      </c>
      <c r="D27" s="199" t="s">
        <v>14</v>
      </c>
      <c r="E27" s="199">
        <f t="shared" si="0"/>
        <v>695798.48</v>
      </c>
    </row>
    <row r="28" spans="1:30" ht="180" hidden="1" outlineLevel="1" x14ac:dyDescent="0.35">
      <c r="A28" s="192" t="s">
        <v>171</v>
      </c>
      <c r="B28" s="191">
        <v>2.16</v>
      </c>
      <c r="C28" s="203">
        <f>C26</f>
        <v>12942.68</v>
      </c>
      <c r="D28" s="180" t="s">
        <v>14</v>
      </c>
      <c r="E28" s="180">
        <f t="shared" si="0"/>
        <v>335474.27</v>
      </c>
    </row>
    <row r="29" spans="1:30" ht="108" hidden="1" outlineLevel="1" x14ac:dyDescent="0.35">
      <c r="A29" s="192" t="s">
        <v>172</v>
      </c>
      <c r="B29" s="191">
        <v>0.51</v>
      </c>
      <c r="C29" s="203">
        <f>C28</f>
        <v>12942.68</v>
      </c>
      <c r="D29" s="180" t="s">
        <v>14</v>
      </c>
      <c r="E29" s="180">
        <f t="shared" si="0"/>
        <v>79209.2</v>
      </c>
    </row>
    <row r="30" spans="1:30" ht="54" collapsed="1" x14ac:dyDescent="0.35">
      <c r="A30" s="196" t="s">
        <v>173</v>
      </c>
      <c r="B30" s="201">
        <v>6.24</v>
      </c>
      <c r="C30" s="202">
        <f>C29</f>
        <v>12942.68</v>
      </c>
      <c r="D30" s="199" t="s">
        <v>14</v>
      </c>
      <c r="E30" s="199">
        <f t="shared" si="0"/>
        <v>969147.88</v>
      </c>
      <c r="AD30" s="175">
        <f>E30/12</f>
        <v>80762.320000000007</v>
      </c>
    </row>
    <row r="31" spans="1:30" ht="18" x14ac:dyDescent="0.35">
      <c r="A31" s="196" t="s">
        <v>175</v>
      </c>
      <c r="B31" s="197">
        <f>5.01-0.73</f>
        <v>4.28</v>
      </c>
      <c r="C31" s="202">
        <f>C30</f>
        <v>12942.68</v>
      </c>
      <c r="D31" s="199" t="s">
        <v>14</v>
      </c>
      <c r="E31" s="199">
        <f t="shared" si="0"/>
        <v>664736.04</v>
      </c>
      <c r="AD31" s="175">
        <f>E31/12</f>
        <v>55394.67</v>
      </c>
    </row>
    <row r="32" spans="1:30" ht="18" x14ac:dyDescent="0.35">
      <c r="A32" s="196" t="s">
        <v>174</v>
      </c>
      <c r="B32" s="201">
        <f>B31+B30+B27+B17+B10+B3</f>
        <v>29.38</v>
      </c>
      <c r="C32" s="202">
        <f>C31</f>
        <v>12942.68</v>
      </c>
      <c r="D32" s="199" t="s">
        <v>14</v>
      </c>
      <c r="E32" s="199">
        <f t="shared" si="0"/>
        <v>4563071.26</v>
      </c>
    </row>
    <row r="33" spans="1:1" x14ac:dyDescent="0.3">
      <c r="A33" s="176"/>
    </row>
    <row r="34" spans="1:1" x14ac:dyDescent="0.3">
      <c r="A34" s="176"/>
    </row>
    <row r="35" spans="1:1" x14ac:dyDescent="0.3">
      <c r="A35" s="176"/>
    </row>
    <row r="36" spans="1:1" x14ac:dyDescent="0.3">
      <c r="A36" s="176"/>
    </row>
    <row r="37" spans="1:1" x14ac:dyDescent="0.3">
      <c r="A37" s="264" t="s">
        <v>237</v>
      </c>
    </row>
    <row r="38" spans="1:1" x14ac:dyDescent="0.3">
      <c r="A38" s="176"/>
    </row>
    <row r="39" spans="1:1" x14ac:dyDescent="0.3">
      <c r="A39" s="176"/>
    </row>
    <row r="40" spans="1:1" x14ac:dyDescent="0.3">
      <c r="A40" s="176"/>
    </row>
    <row r="41" spans="1:1" x14ac:dyDescent="0.3">
      <c r="A41" s="176"/>
    </row>
    <row r="42" spans="1:1" x14ac:dyDescent="0.3">
      <c r="A42" s="176"/>
    </row>
    <row r="43" spans="1:1" x14ac:dyDescent="0.3">
      <c r="A43" s="176"/>
    </row>
  </sheetData>
  <mergeCells count="2">
    <mergeCell ref="A1:E1"/>
    <mergeCell ref="F1:Q1"/>
  </mergeCells>
  <dataValidations count="2">
    <dataValidation type="list" allowBlank="1" showInputMessage="1" showErrorMessage="1" sqref="A3:A65380">
      <formula1>Справочник_работ_и_услуг</formula1>
    </dataValidation>
    <dataValidation type="list" allowBlank="1" showInputMessage="1" showErrorMessage="1" sqref="A3:A65380">
      <formula1>#REF!</formula1>
    </dataValidation>
  </dataValidations>
  <pageMargins left="0.25" right="0.25" top="0.75" bottom="0.75" header="0.3" footer="0.3"/>
  <pageSetup paperSize="9" scale="77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A13" workbookViewId="0">
      <selection activeCell="A6" sqref="A6"/>
    </sheetView>
  </sheetViews>
  <sheetFormatPr defaultColWidth="8.77734375" defaultRowHeight="14.4" x14ac:dyDescent="0.3"/>
  <cols>
    <col min="1" max="1" width="68.21875" style="265" customWidth="1"/>
    <col min="2" max="2" width="7.21875" style="267" hidden="1" customWidth="1"/>
    <col min="3" max="3" width="10.6640625" style="267" hidden="1" customWidth="1"/>
    <col min="4" max="4" width="10.6640625" style="267" customWidth="1"/>
    <col min="5" max="5" width="20.44140625" style="267" customWidth="1"/>
    <col min="6" max="6" width="17.77734375" style="442" customWidth="1"/>
    <col min="7" max="7" width="14.21875" style="267" customWidth="1"/>
    <col min="8" max="16384" width="8.77734375" style="265"/>
  </cols>
  <sheetData>
    <row r="1" spans="1:19" s="277" customFormat="1" ht="39.450000000000003" customHeight="1" x14ac:dyDescent="0.25">
      <c r="A1" s="488" t="s">
        <v>235</v>
      </c>
      <c r="B1" s="488"/>
      <c r="C1" s="488"/>
      <c r="D1" s="488"/>
      <c r="E1" s="347"/>
      <c r="F1" s="347"/>
      <c r="G1" s="347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</row>
    <row r="2" spans="1:19" s="277" customFormat="1" ht="15.6" x14ac:dyDescent="0.25">
      <c r="A2" s="492" t="s">
        <v>8</v>
      </c>
      <c r="B2" s="493" t="s">
        <v>9</v>
      </c>
      <c r="C2" s="493"/>
      <c r="D2" s="493"/>
      <c r="E2" s="494" t="s">
        <v>373</v>
      </c>
      <c r="F2" s="495" t="s">
        <v>374</v>
      </c>
      <c r="G2" s="495" t="s">
        <v>10</v>
      </c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s="266" customFormat="1" ht="31.95" customHeight="1" x14ac:dyDescent="0.3">
      <c r="A3" s="492"/>
      <c r="B3" s="268" t="s">
        <v>375</v>
      </c>
      <c r="C3" s="268" t="s">
        <v>376</v>
      </c>
      <c r="D3" s="268" t="s">
        <v>377</v>
      </c>
      <c r="E3" s="494"/>
      <c r="F3" s="495"/>
      <c r="G3" s="495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</row>
    <row r="4" spans="1:19" x14ac:dyDescent="0.3">
      <c r="A4" s="269" t="s">
        <v>221</v>
      </c>
      <c r="B4" s="274">
        <v>0.6</v>
      </c>
      <c r="C4" s="430">
        <f t="shared" ref="C4:C8" si="0">B4</f>
        <v>0.6</v>
      </c>
      <c r="D4" s="430">
        <f t="shared" ref="D4:D17" si="1">C4*1.045</f>
        <v>0.63</v>
      </c>
      <c r="E4" s="431" t="s">
        <v>222</v>
      </c>
      <c r="F4" s="431" t="s">
        <v>14</v>
      </c>
      <c r="G4" s="274">
        <f>D4*E4*F4</f>
        <v>60972.91</v>
      </c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</row>
    <row r="5" spans="1:19" ht="28.8" x14ac:dyDescent="0.3">
      <c r="A5" s="273" t="s">
        <v>391</v>
      </c>
      <c r="B5" s="274">
        <f>2.88-B6-B4</f>
        <v>1.53</v>
      </c>
      <c r="C5" s="430">
        <f t="shared" si="0"/>
        <v>1.53</v>
      </c>
      <c r="D5" s="430">
        <f t="shared" si="1"/>
        <v>1.6</v>
      </c>
      <c r="E5" s="431" t="s">
        <v>222</v>
      </c>
      <c r="F5" s="431" t="s">
        <v>14</v>
      </c>
      <c r="G5" s="274">
        <f t="shared" ref="G5:G17" si="2">D5*E5*F5</f>
        <v>154851.84</v>
      </c>
      <c r="H5" s="271"/>
      <c r="I5" s="271"/>
      <c r="J5" s="271"/>
      <c r="K5" s="275"/>
      <c r="L5" s="271"/>
      <c r="M5" s="271"/>
      <c r="N5" s="271"/>
      <c r="O5" s="271"/>
      <c r="P5" s="271"/>
      <c r="Q5" s="271"/>
      <c r="R5" s="271"/>
      <c r="S5" s="271"/>
    </row>
    <row r="6" spans="1:19" x14ac:dyDescent="0.3">
      <c r="A6" s="276" t="s">
        <v>223</v>
      </c>
      <c r="B6" s="274">
        <v>0.75</v>
      </c>
      <c r="C6" s="430">
        <f t="shared" si="0"/>
        <v>0.75</v>
      </c>
      <c r="D6" s="430">
        <f t="shared" si="1"/>
        <v>0.78</v>
      </c>
      <c r="E6" s="431" t="s">
        <v>222</v>
      </c>
      <c r="F6" s="431" t="s">
        <v>14</v>
      </c>
      <c r="G6" s="274">
        <f t="shared" si="2"/>
        <v>75490.27</v>
      </c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</row>
    <row r="7" spans="1:19" x14ac:dyDescent="0.3">
      <c r="A7" s="269" t="s">
        <v>224</v>
      </c>
      <c r="B7" s="274">
        <v>0.35</v>
      </c>
      <c r="C7" s="430">
        <f t="shared" si="0"/>
        <v>0.35</v>
      </c>
      <c r="D7" s="430">
        <f t="shared" si="1"/>
        <v>0.37</v>
      </c>
      <c r="E7" s="431" t="s">
        <v>222</v>
      </c>
      <c r="F7" s="431" t="s">
        <v>14</v>
      </c>
      <c r="G7" s="274">
        <f t="shared" si="2"/>
        <v>35809.49</v>
      </c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</row>
    <row r="8" spans="1:19" x14ac:dyDescent="0.3">
      <c r="A8" s="269" t="s">
        <v>225</v>
      </c>
      <c r="B8" s="274">
        <v>2.02</v>
      </c>
      <c r="C8" s="430">
        <f t="shared" si="0"/>
        <v>2.02</v>
      </c>
      <c r="D8" s="430">
        <f t="shared" si="1"/>
        <v>2.11</v>
      </c>
      <c r="E8" s="431" t="s">
        <v>222</v>
      </c>
      <c r="F8" s="431" t="s">
        <v>14</v>
      </c>
      <c r="G8" s="274">
        <f t="shared" si="2"/>
        <v>204210.86</v>
      </c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</row>
    <row r="9" spans="1:19" ht="28.8" x14ac:dyDescent="0.3">
      <c r="A9" s="273" t="s">
        <v>226</v>
      </c>
      <c r="B9" s="274">
        <v>2.8</v>
      </c>
      <c r="C9" s="430">
        <f>B9+0.94</f>
        <v>3.74</v>
      </c>
      <c r="D9" s="430">
        <f t="shared" si="1"/>
        <v>3.91</v>
      </c>
      <c r="E9" s="431" t="s">
        <v>222</v>
      </c>
      <c r="F9" s="431" t="s">
        <v>14</v>
      </c>
      <c r="G9" s="274">
        <f t="shared" si="2"/>
        <v>378419.18</v>
      </c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</row>
    <row r="10" spans="1:19" x14ac:dyDescent="0.3">
      <c r="A10" s="269" t="s">
        <v>227</v>
      </c>
      <c r="B10" s="274">
        <v>1.83</v>
      </c>
      <c r="C10" s="430">
        <f>B10</f>
        <v>1.83</v>
      </c>
      <c r="D10" s="430">
        <f t="shared" si="1"/>
        <v>1.91</v>
      </c>
      <c r="E10" s="431" t="s">
        <v>222</v>
      </c>
      <c r="F10" s="431" t="s">
        <v>14</v>
      </c>
      <c r="G10" s="274">
        <f t="shared" si="2"/>
        <v>184854.38</v>
      </c>
      <c r="H10" s="271"/>
      <c r="I10" s="271"/>
      <c r="J10" s="271"/>
      <c r="K10" s="271"/>
      <c r="L10" s="271"/>
      <c r="M10" s="271"/>
      <c r="N10" s="271"/>
      <c r="O10" s="271"/>
      <c r="P10" s="271"/>
      <c r="Q10" s="271"/>
      <c r="R10" s="271"/>
      <c r="S10" s="271"/>
    </row>
    <row r="11" spans="1:19" x14ac:dyDescent="0.3">
      <c r="A11" s="269" t="s">
        <v>228</v>
      </c>
      <c r="B11" s="274">
        <v>2.2000000000000002</v>
      </c>
      <c r="C11" s="430">
        <f>B11</f>
        <v>2.2000000000000002</v>
      </c>
      <c r="D11" s="430">
        <f t="shared" si="1"/>
        <v>2.2999999999999998</v>
      </c>
      <c r="E11" s="431" t="s">
        <v>222</v>
      </c>
      <c r="F11" s="431" t="s">
        <v>14</v>
      </c>
      <c r="G11" s="274">
        <f t="shared" si="2"/>
        <v>222599.52</v>
      </c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</row>
    <row r="12" spans="1:19" x14ac:dyDescent="0.3">
      <c r="A12" s="269" t="s">
        <v>229</v>
      </c>
      <c r="B12" s="274">
        <v>0.28999999999999998</v>
      </c>
      <c r="C12" s="430">
        <f>B12</f>
        <v>0.28999999999999998</v>
      </c>
      <c r="D12" s="430">
        <f t="shared" si="1"/>
        <v>0.3</v>
      </c>
      <c r="E12" s="431" t="s">
        <v>222</v>
      </c>
      <c r="F12" s="431" t="s">
        <v>14</v>
      </c>
      <c r="G12" s="274">
        <f t="shared" si="2"/>
        <v>29034.720000000001</v>
      </c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</row>
    <row r="13" spans="1:19" x14ac:dyDescent="0.3">
      <c r="A13" s="269" t="s">
        <v>230</v>
      </c>
      <c r="B13" s="274">
        <v>0.28999999999999998</v>
      </c>
      <c r="C13" s="430">
        <f>B13</f>
        <v>0.28999999999999998</v>
      </c>
      <c r="D13" s="430">
        <f t="shared" si="1"/>
        <v>0.3</v>
      </c>
      <c r="E13" s="431" t="s">
        <v>222</v>
      </c>
      <c r="F13" s="431" t="s">
        <v>14</v>
      </c>
      <c r="G13" s="274">
        <f>D13*E13*F13</f>
        <v>29034.720000000001</v>
      </c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</row>
    <row r="14" spans="1:19" ht="28.8" x14ac:dyDescent="0.3">
      <c r="A14" s="273" t="s">
        <v>231</v>
      </c>
      <c r="B14" s="274">
        <v>0.06</v>
      </c>
      <c r="C14" s="430">
        <f>B14</f>
        <v>0.06</v>
      </c>
      <c r="D14" s="430">
        <f t="shared" si="1"/>
        <v>0.06</v>
      </c>
      <c r="E14" s="431" t="s">
        <v>222</v>
      </c>
      <c r="F14" s="431" t="s">
        <v>14</v>
      </c>
      <c r="G14" s="274">
        <f t="shared" si="2"/>
        <v>5806.94</v>
      </c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</row>
    <row r="15" spans="1:19" x14ac:dyDescent="0.3">
      <c r="A15" s="273" t="s">
        <v>232</v>
      </c>
      <c r="B15" s="274">
        <v>0.16</v>
      </c>
      <c r="C15" s="430">
        <v>0.2</v>
      </c>
      <c r="D15" s="430">
        <f t="shared" si="1"/>
        <v>0.21</v>
      </c>
      <c r="E15" s="431" t="s">
        <v>222</v>
      </c>
      <c r="F15" s="431" t="s">
        <v>14</v>
      </c>
      <c r="G15" s="274">
        <f t="shared" si="2"/>
        <v>20324.3</v>
      </c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</row>
    <row r="16" spans="1:19" x14ac:dyDescent="0.3">
      <c r="A16" s="269" t="s">
        <v>233</v>
      </c>
      <c r="B16" s="274">
        <v>7.13</v>
      </c>
      <c r="C16" s="430">
        <f>7.13+1</f>
        <v>8.1300000000000008</v>
      </c>
      <c r="D16" s="430">
        <f t="shared" si="1"/>
        <v>8.5</v>
      </c>
      <c r="E16" s="431" t="s">
        <v>222</v>
      </c>
      <c r="F16" s="431" t="s">
        <v>14</v>
      </c>
      <c r="G16" s="274">
        <f t="shared" si="2"/>
        <v>822650.4</v>
      </c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</row>
    <row r="17" spans="1:19" x14ac:dyDescent="0.3">
      <c r="A17" s="432" t="s">
        <v>378</v>
      </c>
      <c r="B17" s="274">
        <v>5.52</v>
      </c>
      <c r="C17" s="430">
        <v>7</v>
      </c>
      <c r="D17" s="430">
        <f t="shared" si="1"/>
        <v>7.32</v>
      </c>
      <c r="E17" s="431" t="s">
        <v>222</v>
      </c>
      <c r="F17" s="431" t="s">
        <v>14</v>
      </c>
      <c r="G17" s="274">
        <f t="shared" si="2"/>
        <v>708447.17</v>
      </c>
      <c r="H17" s="271"/>
      <c r="I17" s="275"/>
      <c r="J17" s="271"/>
      <c r="K17" s="271"/>
      <c r="L17" s="271"/>
      <c r="M17" s="271"/>
      <c r="N17" s="271"/>
      <c r="O17" s="271"/>
      <c r="P17" s="271"/>
      <c r="Q17" s="271"/>
      <c r="R17" s="271"/>
      <c r="S17" s="271"/>
    </row>
    <row r="18" spans="1:19" x14ac:dyDescent="0.3">
      <c r="A18" s="269" t="s">
        <v>379</v>
      </c>
      <c r="B18" s="274"/>
      <c r="C18" s="431">
        <f>SUM(C4:C17)</f>
        <v>28.99</v>
      </c>
      <c r="D18" s="430">
        <f>SUM(D4:D17)</f>
        <v>30.3</v>
      </c>
      <c r="E18" s="431" t="s">
        <v>222</v>
      </c>
      <c r="F18" s="433">
        <v>12</v>
      </c>
      <c r="G18" s="274">
        <f>SUM(G4:G17)</f>
        <v>2932506.7</v>
      </c>
      <c r="H18" s="271"/>
      <c r="I18" s="275"/>
      <c r="J18" s="271"/>
      <c r="K18" s="271"/>
      <c r="L18" s="271"/>
      <c r="M18" s="271"/>
      <c r="N18" s="271"/>
      <c r="O18" s="271"/>
      <c r="P18" s="271"/>
      <c r="Q18" s="271"/>
      <c r="R18" s="271"/>
      <c r="S18" s="271"/>
    </row>
    <row r="19" spans="1:19" hidden="1" x14ac:dyDescent="0.3">
      <c r="A19" s="269" t="s">
        <v>380</v>
      </c>
      <c r="B19" s="274"/>
      <c r="C19" s="431"/>
      <c r="D19" s="430">
        <f>D18*5%</f>
        <v>1.52</v>
      </c>
      <c r="E19" s="431" t="s">
        <v>222</v>
      </c>
      <c r="F19" s="433">
        <v>12</v>
      </c>
      <c r="G19" s="274">
        <f>D19*E19*F19</f>
        <v>147109.25</v>
      </c>
      <c r="H19" s="271"/>
      <c r="I19" s="275"/>
      <c r="J19" s="271"/>
      <c r="K19" s="271"/>
      <c r="L19" s="271"/>
      <c r="M19" s="271"/>
      <c r="N19" s="271"/>
      <c r="O19" s="271"/>
      <c r="P19" s="271"/>
      <c r="Q19" s="271"/>
      <c r="R19" s="271"/>
      <c r="S19" s="271"/>
    </row>
    <row r="20" spans="1:19" x14ac:dyDescent="0.3">
      <c r="A20" s="434" t="s">
        <v>381</v>
      </c>
      <c r="B20" s="435"/>
      <c r="C20" s="436"/>
      <c r="D20" s="437">
        <f>D18+D19</f>
        <v>31.82</v>
      </c>
      <c r="E20" s="436" t="s">
        <v>222</v>
      </c>
      <c r="F20" s="438">
        <v>12</v>
      </c>
      <c r="G20" s="435">
        <f>D20*E20*F20</f>
        <v>3079615.97</v>
      </c>
      <c r="H20" s="271"/>
      <c r="I20" s="275"/>
      <c r="J20" s="271"/>
      <c r="K20" s="271"/>
      <c r="L20" s="271"/>
      <c r="M20" s="271"/>
      <c r="N20" s="271"/>
      <c r="O20" s="271"/>
      <c r="P20" s="271"/>
      <c r="Q20" s="271"/>
      <c r="R20" s="271"/>
      <c r="S20" s="271"/>
    </row>
    <row r="21" spans="1:19" x14ac:dyDescent="0.3">
      <c r="A21" s="434" t="s">
        <v>382</v>
      </c>
      <c r="B21" s="439">
        <f>SUM(B4:B17)</f>
        <v>25.53</v>
      </c>
      <c r="C21" s="436" t="s">
        <v>383</v>
      </c>
      <c r="D21" s="437">
        <v>645</v>
      </c>
      <c r="E21" s="438">
        <v>188</v>
      </c>
      <c r="F21" s="438">
        <v>12</v>
      </c>
      <c r="G21" s="435">
        <f>D21*E21*F21</f>
        <v>1455120</v>
      </c>
    </row>
    <row r="22" spans="1:19" s="372" customFormat="1" x14ac:dyDescent="0.3">
      <c r="C22" s="372" t="s">
        <v>384</v>
      </c>
      <c r="D22" s="440" t="s">
        <v>385</v>
      </c>
      <c r="E22" s="274"/>
      <c r="F22" s="430"/>
      <c r="G22" s="274"/>
    </row>
    <row r="23" spans="1:19" s="372" customFormat="1" x14ac:dyDescent="0.3">
      <c r="C23" s="372">
        <f>SUM(C4:C16)</f>
        <v>21.99</v>
      </c>
      <c r="E23" s="274"/>
      <c r="F23" s="430"/>
      <c r="G23" s="274"/>
    </row>
    <row r="24" spans="1:19" s="372" customFormat="1" x14ac:dyDescent="0.3">
      <c r="C24" s="372">
        <f>21.99-C23</f>
        <v>0</v>
      </c>
      <c r="D24" s="372">
        <v>30.29</v>
      </c>
      <c r="E24" s="274"/>
      <c r="F24" s="430"/>
      <c r="G24" s="274"/>
    </row>
    <row r="25" spans="1:19" s="372" customFormat="1" x14ac:dyDescent="0.3">
      <c r="C25" s="372" t="s">
        <v>386</v>
      </c>
      <c r="D25" s="372">
        <f>D20-D24</f>
        <v>1.53</v>
      </c>
      <c r="F25" s="441"/>
    </row>
    <row r="26" spans="1:19" s="372" customFormat="1" x14ac:dyDescent="0.3">
      <c r="D26" s="372">
        <f>D21*188</f>
        <v>121260</v>
      </c>
      <c r="F26" s="441"/>
    </row>
    <row r="27" spans="1:19" s="372" customFormat="1" x14ac:dyDescent="0.3">
      <c r="F27" s="441"/>
    </row>
    <row r="28" spans="1:19" s="372" customFormat="1" x14ac:dyDescent="0.3">
      <c r="F28" s="441"/>
    </row>
    <row r="29" spans="1:19" s="372" customFormat="1" x14ac:dyDescent="0.3">
      <c r="F29" s="441"/>
    </row>
    <row r="30" spans="1:19" s="372" customFormat="1" x14ac:dyDescent="0.3">
      <c r="F30" s="441"/>
    </row>
    <row r="31" spans="1:19" s="372" customFormat="1" x14ac:dyDescent="0.3">
      <c r="F31" s="441"/>
    </row>
  </sheetData>
  <mergeCells count="7">
    <mergeCell ref="A1:D1"/>
    <mergeCell ref="H1:S1"/>
    <mergeCell ref="A2:A3"/>
    <mergeCell ref="B2:D2"/>
    <mergeCell ref="E2:E3"/>
    <mergeCell ref="F2:F3"/>
    <mergeCell ref="G2:G3"/>
  </mergeCells>
  <dataValidations count="4">
    <dataValidation type="list" allowBlank="1" showInputMessage="1" showErrorMessage="1" sqref="A4:A5 A7:A65541">
      <formula1>Справочник_работ_и_услуг</formula1>
    </dataValidation>
    <dataValidation type="list" allowBlank="1" showDropDown="1" showInputMessage="1" showErrorMessage="1" sqref="A4:A5 A7:A16 A21:A65541">
      <formula1>#REF!</formula1>
    </dataValidation>
    <dataValidation type="list" errorStyle="information" allowBlank="1" showInputMessage="1" showErrorMessage="1" sqref="A17">
      <formula1>#REF!</formula1>
    </dataValidation>
    <dataValidation type="list" errorStyle="warning" allowBlank="1" showDropDown="1" showInputMessage="1" showErrorMessage="1" sqref="A18:A20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2"/>
  <sheetViews>
    <sheetView topLeftCell="B6" zoomScale="55" zoomScaleNormal="55" workbookViewId="0">
      <selection activeCell="D18" sqref="D18"/>
    </sheetView>
  </sheetViews>
  <sheetFormatPr defaultColWidth="9.21875" defaultRowHeight="14.4" x14ac:dyDescent="0.3"/>
  <cols>
    <col min="1" max="1" width="18.21875" style="298" hidden="1" customWidth="1"/>
    <col min="2" max="2" width="81.44140625" style="288" customWidth="1"/>
    <col min="3" max="3" width="18.33203125" style="298" hidden="1" customWidth="1"/>
    <col min="4" max="4" width="18.33203125" style="298" customWidth="1"/>
    <col min="5" max="6" width="18.33203125" style="298" hidden="1" customWidth="1"/>
    <col min="7" max="7" width="24" style="298" customWidth="1"/>
    <col min="8" max="8" width="21.109375" style="298" hidden="1" customWidth="1"/>
    <col min="9" max="9" width="30.88671875" style="298" customWidth="1"/>
    <col min="10" max="10" width="18" style="298" hidden="1" customWidth="1"/>
    <col min="11" max="11" width="22.88671875" style="298" hidden="1" customWidth="1"/>
    <col min="12" max="16384" width="9.21875" style="288"/>
  </cols>
  <sheetData>
    <row r="2" spans="1:13" s="280" customFormat="1" ht="55.5" customHeight="1" x14ac:dyDescent="0.45">
      <c r="A2" s="263"/>
      <c r="B2" s="496" t="s">
        <v>238</v>
      </c>
      <c r="C2" s="496"/>
      <c r="D2" s="496"/>
      <c r="E2" s="496"/>
      <c r="F2" s="496"/>
      <c r="G2" s="496"/>
      <c r="H2" s="279" t="s">
        <v>239</v>
      </c>
      <c r="I2" s="497" t="s">
        <v>240</v>
      </c>
      <c r="J2" s="497"/>
      <c r="K2" s="497"/>
    </row>
    <row r="3" spans="1:13" s="280" customFormat="1" ht="14.55" hidden="1" customHeight="1" x14ac:dyDescent="0.3">
      <c r="A3" s="281"/>
      <c r="C3" s="281"/>
      <c r="D3" s="281"/>
      <c r="E3" s="281"/>
      <c r="F3" s="281"/>
      <c r="G3" s="281"/>
    </row>
    <row r="4" spans="1:13" s="280" customFormat="1" ht="15" thickBot="1" x14ac:dyDescent="0.35">
      <c r="A4" s="281"/>
      <c r="C4" s="281"/>
      <c r="D4" s="281"/>
      <c r="E4" s="281"/>
      <c r="F4" s="281"/>
      <c r="G4" s="281"/>
    </row>
    <row r="5" spans="1:13" s="280" customFormat="1" ht="13.5" customHeight="1" x14ac:dyDescent="0.4">
      <c r="A5" s="300"/>
      <c r="B5" s="498" t="s">
        <v>8</v>
      </c>
      <c r="C5" s="500" t="s">
        <v>241</v>
      </c>
      <c r="D5" s="500" t="s">
        <v>264</v>
      </c>
      <c r="E5" s="500" t="s">
        <v>242</v>
      </c>
      <c r="F5" s="301" t="s">
        <v>243</v>
      </c>
      <c r="G5" s="503" t="s">
        <v>244</v>
      </c>
      <c r="H5" s="301" t="s">
        <v>245</v>
      </c>
      <c r="I5" s="506" t="s">
        <v>246</v>
      </c>
      <c r="J5" s="509" t="s">
        <v>220</v>
      </c>
      <c r="K5" s="512" t="s">
        <v>247</v>
      </c>
    </row>
    <row r="6" spans="1:13" s="280" customFormat="1" ht="13.5" customHeight="1" x14ac:dyDescent="0.4">
      <c r="A6" s="300"/>
      <c r="B6" s="499"/>
      <c r="C6" s="501"/>
      <c r="D6" s="501"/>
      <c r="E6" s="501"/>
      <c r="F6" s="302"/>
      <c r="G6" s="504"/>
      <c r="H6" s="302"/>
      <c r="I6" s="507"/>
      <c r="J6" s="510"/>
      <c r="K6" s="513"/>
    </row>
    <row r="7" spans="1:13" s="282" customFormat="1" ht="13.5" customHeight="1" x14ac:dyDescent="0.3">
      <c r="A7" s="303" t="s">
        <v>248</v>
      </c>
      <c r="B7" s="499"/>
      <c r="C7" s="502"/>
      <c r="D7" s="502"/>
      <c r="E7" s="502"/>
      <c r="F7" s="302"/>
      <c r="G7" s="505"/>
      <c r="H7" s="302"/>
      <c r="I7" s="508"/>
      <c r="J7" s="511"/>
      <c r="K7" s="514"/>
    </row>
    <row r="8" spans="1:13" ht="63" x14ac:dyDescent="0.4">
      <c r="A8" s="304">
        <v>12</v>
      </c>
      <c r="B8" s="305" t="s">
        <v>249</v>
      </c>
      <c r="C8" s="283">
        <v>5.7</v>
      </c>
      <c r="D8" s="292">
        <f>C8*F8+C8-0.22</f>
        <v>6.62</v>
      </c>
      <c r="E8" s="283">
        <f>D8</f>
        <v>6.6</v>
      </c>
      <c r="F8" s="283">
        <v>0.2</v>
      </c>
      <c r="G8" s="283">
        <v>5609.6</v>
      </c>
      <c r="H8" s="284">
        <f t="shared" ref="H8:H25" si="0">C8*G8</f>
        <v>31974.720000000001</v>
      </c>
      <c r="I8" s="285">
        <f>D8*G8</f>
        <v>37135.599999999999</v>
      </c>
      <c r="J8" s="286">
        <v>12</v>
      </c>
      <c r="K8" s="287">
        <f>I8*J8</f>
        <v>445627.2</v>
      </c>
      <c r="M8" s="289"/>
    </row>
    <row r="9" spans="1:13" ht="42" x14ac:dyDescent="0.4">
      <c r="A9" s="304">
        <f>A8-A10</f>
        <v>9</v>
      </c>
      <c r="B9" s="305" t="s">
        <v>250</v>
      </c>
      <c r="C9" s="283">
        <v>1.2</v>
      </c>
      <c r="D9" s="482">
        <f t="shared" ref="D9:D21" si="1">C9*F9+C9</f>
        <v>1.44</v>
      </c>
      <c r="E9" s="283">
        <f t="shared" ref="E9:E16" si="2">D9</f>
        <v>1.4</v>
      </c>
      <c r="F9" s="283">
        <v>0.2</v>
      </c>
      <c r="G9" s="283">
        <f>G8</f>
        <v>5609.6</v>
      </c>
      <c r="H9" s="284">
        <f t="shared" si="0"/>
        <v>6731.52</v>
      </c>
      <c r="I9" s="285">
        <f t="shared" ref="I9:I21" si="3">D9*G9</f>
        <v>8077.8</v>
      </c>
      <c r="J9" s="286">
        <v>12</v>
      </c>
      <c r="K9" s="287">
        <f t="shared" ref="K9:K28" si="4">I9*J9</f>
        <v>96933.6</v>
      </c>
    </row>
    <row r="10" spans="1:13" ht="21" x14ac:dyDescent="0.4">
      <c r="A10" s="306">
        <v>3</v>
      </c>
      <c r="B10" s="305" t="s">
        <v>227</v>
      </c>
      <c r="C10" s="283">
        <v>2.2000000000000002</v>
      </c>
      <c r="D10" s="292">
        <f t="shared" si="1"/>
        <v>2.64</v>
      </c>
      <c r="E10" s="283">
        <f t="shared" si="2"/>
        <v>2.6</v>
      </c>
      <c r="F10" s="283">
        <v>0.2</v>
      </c>
      <c r="G10" s="283">
        <f t="shared" ref="G10:G21" si="5">G9</f>
        <v>5609.6</v>
      </c>
      <c r="H10" s="284">
        <f t="shared" si="0"/>
        <v>12341.12</v>
      </c>
      <c r="I10" s="285">
        <f t="shared" si="3"/>
        <v>14809.3</v>
      </c>
      <c r="J10" s="286">
        <v>12</v>
      </c>
      <c r="K10" s="287">
        <f t="shared" si="4"/>
        <v>177711.6</v>
      </c>
    </row>
    <row r="11" spans="1:13" s="290" customFormat="1" ht="42" x14ac:dyDescent="0.4">
      <c r="A11" s="304">
        <f>SUM(A12:A25)</f>
        <v>19.5</v>
      </c>
      <c r="B11" s="305" t="s">
        <v>251</v>
      </c>
      <c r="C11" s="283">
        <v>0.3</v>
      </c>
      <c r="D11" s="292">
        <f t="shared" si="1"/>
        <v>0.33</v>
      </c>
      <c r="E11" s="283">
        <f t="shared" si="2"/>
        <v>0.3</v>
      </c>
      <c r="F11" s="283">
        <v>0.1</v>
      </c>
      <c r="G11" s="283">
        <f t="shared" si="5"/>
        <v>5609.6</v>
      </c>
      <c r="H11" s="284">
        <f t="shared" si="0"/>
        <v>1682.88</v>
      </c>
      <c r="I11" s="285">
        <f t="shared" si="3"/>
        <v>1851.2</v>
      </c>
      <c r="J11" s="286">
        <v>12</v>
      </c>
      <c r="K11" s="287">
        <f t="shared" si="4"/>
        <v>22214.400000000001</v>
      </c>
    </row>
    <row r="12" spans="1:13" ht="21" x14ac:dyDescent="0.4">
      <c r="A12" s="306">
        <v>3.22</v>
      </c>
      <c r="B12" s="305" t="s">
        <v>252</v>
      </c>
      <c r="C12" s="283">
        <v>0.4</v>
      </c>
      <c r="D12" s="292">
        <f t="shared" si="1"/>
        <v>0.44</v>
      </c>
      <c r="E12" s="283">
        <f t="shared" si="2"/>
        <v>0.4</v>
      </c>
      <c r="F12" s="283">
        <v>0.1</v>
      </c>
      <c r="G12" s="283">
        <f t="shared" si="5"/>
        <v>5609.6</v>
      </c>
      <c r="H12" s="291">
        <f t="shared" si="0"/>
        <v>2243.8000000000002</v>
      </c>
      <c r="I12" s="285">
        <f t="shared" si="3"/>
        <v>2468.1999999999998</v>
      </c>
      <c r="J12" s="286">
        <v>12</v>
      </c>
      <c r="K12" s="287">
        <f t="shared" si="4"/>
        <v>29618.400000000001</v>
      </c>
    </row>
    <row r="13" spans="1:13" ht="42" hidden="1" x14ac:dyDescent="0.4">
      <c r="A13" s="306"/>
      <c r="B13" s="305" t="s">
        <v>253</v>
      </c>
      <c r="C13" s="283">
        <v>0</v>
      </c>
      <c r="D13" s="292">
        <f t="shared" si="1"/>
        <v>0</v>
      </c>
      <c r="E13" s="283">
        <f t="shared" si="2"/>
        <v>0</v>
      </c>
      <c r="F13" s="283">
        <v>0.1</v>
      </c>
      <c r="G13" s="283">
        <f t="shared" si="5"/>
        <v>5609.6</v>
      </c>
      <c r="H13" s="291">
        <f t="shared" si="0"/>
        <v>0</v>
      </c>
      <c r="I13" s="285">
        <f t="shared" si="3"/>
        <v>0</v>
      </c>
      <c r="J13" s="286">
        <v>12</v>
      </c>
      <c r="K13" s="287">
        <f t="shared" si="4"/>
        <v>0</v>
      </c>
    </row>
    <row r="14" spans="1:13" ht="21" hidden="1" x14ac:dyDescent="0.4">
      <c r="A14" s="306">
        <v>2.54</v>
      </c>
      <c r="B14" s="305" t="s">
        <v>254</v>
      </c>
      <c r="C14" s="283">
        <v>0</v>
      </c>
      <c r="D14" s="292">
        <f t="shared" si="1"/>
        <v>0</v>
      </c>
      <c r="E14" s="283">
        <f t="shared" si="2"/>
        <v>0</v>
      </c>
      <c r="F14" s="283">
        <v>0.1</v>
      </c>
      <c r="G14" s="283">
        <f t="shared" si="5"/>
        <v>5609.6</v>
      </c>
      <c r="H14" s="291">
        <f t="shared" si="0"/>
        <v>0</v>
      </c>
      <c r="I14" s="285">
        <f t="shared" si="3"/>
        <v>0</v>
      </c>
      <c r="J14" s="286">
        <v>12</v>
      </c>
      <c r="K14" s="287">
        <f t="shared" si="4"/>
        <v>0</v>
      </c>
    </row>
    <row r="15" spans="1:13" ht="21" x14ac:dyDescent="0.4">
      <c r="A15" s="306">
        <v>2.2200000000000002</v>
      </c>
      <c r="B15" s="305" t="s">
        <v>255</v>
      </c>
      <c r="C15" s="283">
        <v>1.2</v>
      </c>
      <c r="D15" s="292">
        <f t="shared" si="1"/>
        <v>1.44</v>
      </c>
      <c r="E15" s="283">
        <f t="shared" si="2"/>
        <v>1.4</v>
      </c>
      <c r="F15" s="283">
        <v>0.2</v>
      </c>
      <c r="G15" s="283">
        <f t="shared" si="5"/>
        <v>5609.6</v>
      </c>
      <c r="H15" s="291">
        <f t="shared" si="0"/>
        <v>6731.5</v>
      </c>
      <c r="I15" s="285">
        <f t="shared" si="3"/>
        <v>8077.8</v>
      </c>
      <c r="J15" s="286">
        <v>12</v>
      </c>
      <c r="K15" s="287">
        <f t="shared" si="4"/>
        <v>96933.6</v>
      </c>
    </row>
    <row r="16" spans="1:13" ht="21" x14ac:dyDescent="0.4">
      <c r="A16" s="306">
        <v>0.14000000000000001</v>
      </c>
      <c r="B16" s="305" t="s">
        <v>256</v>
      </c>
      <c r="C16" s="283">
        <v>3</v>
      </c>
      <c r="D16" s="292">
        <f>C16*F16+C16</f>
        <v>3.3</v>
      </c>
      <c r="E16" s="283">
        <f t="shared" si="2"/>
        <v>3.3</v>
      </c>
      <c r="F16" s="283">
        <v>0.1</v>
      </c>
      <c r="G16" s="283">
        <f t="shared" si="5"/>
        <v>5609.6</v>
      </c>
      <c r="H16" s="291">
        <f t="shared" si="0"/>
        <v>16828.8</v>
      </c>
      <c r="I16" s="285">
        <f t="shared" si="3"/>
        <v>18511.7</v>
      </c>
      <c r="J16" s="286">
        <v>12</v>
      </c>
      <c r="K16" s="287">
        <f t="shared" si="4"/>
        <v>222140.4</v>
      </c>
    </row>
    <row r="17" spans="1:12" ht="42" x14ac:dyDescent="0.4">
      <c r="A17" s="306">
        <v>0.92</v>
      </c>
      <c r="B17" s="305" t="s">
        <v>265</v>
      </c>
      <c r="C17" s="283">
        <v>0</v>
      </c>
      <c r="D17" s="292">
        <f>1997.45/G17</f>
        <v>0.36</v>
      </c>
      <c r="E17" s="283">
        <v>0.4</v>
      </c>
      <c r="F17" s="283">
        <v>0.1</v>
      </c>
      <c r="G17" s="283">
        <f t="shared" si="5"/>
        <v>5609.6</v>
      </c>
      <c r="H17" s="291">
        <f t="shared" si="0"/>
        <v>0</v>
      </c>
      <c r="I17" s="285" t="s">
        <v>388</v>
      </c>
      <c r="J17" s="286">
        <v>12</v>
      </c>
      <c r="K17" s="287" t="e">
        <f t="shared" si="4"/>
        <v>#VALUE!</v>
      </c>
      <c r="L17" s="288" t="s">
        <v>257</v>
      </c>
    </row>
    <row r="18" spans="1:12" ht="42" x14ac:dyDescent="0.4">
      <c r="A18" s="306">
        <v>1.42</v>
      </c>
      <c r="B18" s="305" t="s">
        <v>258</v>
      </c>
      <c r="C18" s="283">
        <v>0.1</v>
      </c>
      <c r="D18" s="292">
        <f t="shared" si="1"/>
        <v>0.13</v>
      </c>
      <c r="E18" s="283">
        <f>D18</f>
        <v>0.1</v>
      </c>
      <c r="F18" s="283">
        <v>0.3</v>
      </c>
      <c r="G18" s="283">
        <f>G17</f>
        <v>5609.6</v>
      </c>
      <c r="H18" s="291">
        <f t="shared" si="0"/>
        <v>561</v>
      </c>
      <c r="I18" s="285">
        <f t="shared" si="3"/>
        <v>729.2</v>
      </c>
      <c r="J18" s="286">
        <v>12</v>
      </c>
      <c r="K18" s="287">
        <f t="shared" si="4"/>
        <v>8750.4</v>
      </c>
    </row>
    <row r="19" spans="1:12" ht="42" x14ac:dyDescent="0.4">
      <c r="A19" s="306">
        <v>4.5599999999999996</v>
      </c>
      <c r="B19" s="305" t="s">
        <v>259</v>
      </c>
      <c r="C19" s="283">
        <v>0.1</v>
      </c>
      <c r="D19" s="292">
        <f t="shared" si="1"/>
        <v>0.13</v>
      </c>
      <c r="E19" s="283">
        <f t="shared" ref="E19:E21" si="6">D19</f>
        <v>0.1</v>
      </c>
      <c r="F19" s="283">
        <v>0.3</v>
      </c>
      <c r="G19" s="283">
        <f t="shared" si="5"/>
        <v>5609.6</v>
      </c>
      <c r="H19" s="291">
        <f t="shared" si="0"/>
        <v>561</v>
      </c>
      <c r="I19" s="285">
        <f t="shared" si="3"/>
        <v>729.2</v>
      </c>
      <c r="J19" s="286">
        <v>12</v>
      </c>
      <c r="K19" s="287">
        <f t="shared" si="4"/>
        <v>8750.4</v>
      </c>
    </row>
    <row r="20" spans="1:12" ht="42" x14ac:dyDescent="0.4">
      <c r="A20" s="306">
        <v>0.66</v>
      </c>
      <c r="B20" s="305" t="s">
        <v>260</v>
      </c>
      <c r="C20" s="283">
        <v>0</v>
      </c>
      <c r="D20" s="292">
        <v>0.13</v>
      </c>
      <c r="E20" s="283">
        <f t="shared" si="6"/>
        <v>0.1</v>
      </c>
      <c r="F20" s="283">
        <v>0.3</v>
      </c>
      <c r="G20" s="283">
        <f t="shared" si="5"/>
        <v>5609.6</v>
      </c>
      <c r="H20" s="291">
        <f t="shared" si="0"/>
        <v>0</v>
      </c>
      <c r="I20" s="285">
        <f t="shared" si="3"/>
        <v>729.2</v>
      </c>
      <c r="J20" s="286">
        <v>12</v>
      </c>
      <c r="K20" s="287">
        <f t="shared" si="4"/>
        <v>8750.4</v>
      </c>
    </row>
    <row r="21" spans="1:12" ht="21" x14ac:dyDescent="0.4">
      <c r="A21" s="306">
        <v>0.08</v>
      </c>
      <c r="B21" s="305" t="s">
        <v>148</v>
      </c>
      <c r="C21" s="283">
        <v>6.2</v>
      </c>
      <c r="D21" s="292">
        <f t="shared" si="1"/>
        <v>6.82</v>
      </c>
      <c r="E21" s="283">
        <f t="shared" si="6"/>
        <v>6.8</v>
      </c>
      <c r="F21" s="283">
        <v>0.1</v>
      </c>
      <c r="G21" s="283">
        <f t="shared" si="5"/>
        <v>5609.6</v>
      </c>
      <c r="H21" s="291">
        <f t="shared" si="0"/>
        <v>34779.5</v>
      </c>
      <c r="I21" s="285">
        <f t="shared" si="3"/>
        <v>38257.5</v>
      </c>
      <c r="J21" s="286">
        <v>12</v>
      </c>
      <c r="K21" s="287">
        <f t="shared" si="4"/>
        <v>459090</v>
      </c>
    </row>
    <row r="22" spans="1:12" ht="21" x14ac:dyDescent="0.4">
      <c r="A22" s="306">
        <v>0.5</v>
      </c>
      <c r="B22" s="305" t="s">
        <v>261</v>
      </c>
      <c r="C22" s="283">
        <v>20.3</v>
      </c>
      <c r="D22" s="292">
        <f>SUM(D8:D21)</f>
        <v>23.78</v>
      </c>
      <c r="E22" s="283">
        <f>SUM(E8:E21)</f>
        <v>23.5</v>
      </c>
      <c r="F22" s="283">
        <v>0.1</v>
      </c>
      <c r="G22" s="283">
        <f>G21</f>
        <v>5609.6</v>
      </c>
      <c r="H22" s="291">
        <f t="shared" si="0"/>
        <v>113874.9</v>
      </c>
      <c r="I22" s="285">
        <f t="shared" ref="I22" si="7">E22*G22</f>
        <v>131825.60000000001</v>
      </c>
      <c r="J22" s="286">
        <v>12</v>
      </c>
      <c r="K22" s="287">
        <f t="shared" si="4"/>
        <v>1581907.2</v>
      </c>
    </row>
    <row r="23" spans="1:12" ht="21" x14ac:dyDescent="0.4">
      <c r="A23" s="306">
        <v>0.04</v>
      </c>
      <c r="B23" s="305" t="s">
        <v>234</v>
      </c>
      <c r="C23" s="283">
        <v>7.1</v>
      </c>
      <c r="D23" s="292">
        <v>7.9</v>
      </c>
      <c r="E23" s="283">
        <f>D23</f>
        <v>7.9</v>
      </c>
      <c r="F23" s="283">
        <v>0.1</v>
      </c>
      <c r="G23" s="283">
        <f>G22</f>
        <v>5609.6</v>
      </c>
      <c r="H23" s="291">
        <f>C23*G23</f>
        <v>39828.199999999997</v>
      </c>
      <c r="I23" s="285">
        <f>E23*G23</f>
        <v>44315.8</v>
      </c>
      <c r="J23" s="286">
        <v>12</v>
      </c>
      <c r="K23" s="287">
        <f>I23*J23</f>
        <v>531789.6</v>
      </c>
    </row>
    <row r="24" spans="1:12" ht="21" x14ac:dyDescent="0.4">
      <c r="A24" s="306"/>
      <c r="B24" s="308" t="s">
        <v>387</v>
      </c>
      <c r="C24" s="283">
        <f>C22+C23</f>
        <v>27.4</v>
      </c>
      <c r="D24" s="292">
        <f>D22+D23</f>
        <v>31.68</v>
      </c>
      <c r="E24" s="283">
        <f>E22+E23</f>
        <v>31.4</v>
      </c>
      <c r="F24" s="283"/>
      <c r="G24" s="283">
        <f t="shared" ref="G24" si="8">G23</f>
        <v>5609.6</v>
      </c>
      <c r="H24" s="291"/>
      <c r="I24" s="285">
        <f t="shared" ref="I24:I25" si="9">E24*G24</f>
        <v>176141.4</v>
      </c>
      <c r="J24" s="286"/>
      <c r="K24" s="287"/>
    </row>
    <row r="25" spans="1:12" s="297" customFormat="1" ht="42" hidden="1" x14ac:dyDescent="0.4">
      <c r="A25" s="307">
        <v>3.2</v>
      </c>
      <c r="B25" s="308" t="s">
        <v>266</v>
      </c>
      <c r="C25" s="293">
        <v>4.4000000000000004</v>
      </c>
      <c r="D25" s="292">
        <v>8.6</v>
      </c>
      <c r="E25" s="283">
        <f>D25</f>
        <v>8.6</v>
      </c>
      <c r="F25" s="293">
        <f>100%-(C25/D32)</f>
        <v>0.5</v>
      </c>
      <c r="G25" s="283">
        <f>G24</f>
        <v>5609.6</v>
      </c>
      <c r="H25" s="294">
        <f t="shared" si="0"/>
        <v>24682.2</v>
      </c>
      <c r="I25" s="285">
        <f t="shared" si="9"/>
        <v>48242.6</v>
      </c>
      <c r="J25" s="295">
        <v>12</v>
      </c>
      <c r="K25" s="296">
        <f t="shared" si="4"/>
        <v>578911.19999999995</v>
      </c>
    </row>
    <row r="26" spans="1:12" ht="20.399999999999999" x14ac:dyDescent="0.3">
      <c r="K26" s="287">
        <f t="shared" si="4"/>
        <v>0</v>
      </c>
    </row>
    <row r="27" spans="1:12" ht="20.399999999999999" x14ac:dyDescent="0.3">
      <c r="B27" s="479" t="s">
        <v>389</v>
      </c>
      <c r="C27" s="479"/>
      <c r="D27" s="479" t="s">
        <v>390</v>
      </c>
      <c r="E27" s="479"/>
      <c r="F27" s="479"/>
      <c r="G27" s="479">
        <f>D27*G24</f>
        <v>11780.16</v>
      </c>
      <c r="K27" s="287">
        <f t="shared" si="4"/>
        <v>0</v>
      </c>
    </row>
    <row r="28" spans="1:12" ht="20.399999999999999" x14ac:dyDescent="0.3">
      <c r="B28" s="479"/>
      <c r="C28" s="479"/>
      <c r="D28" s="479">
        <f>D32-D27</f>
        <v>6.5</v>
      </c>
      <c r="E28" s="479"/>
      <c r="F28" s="479"/>
      <c r="G28" s="479">
        <f>D28*G24</f>
        <v>36462.400000000001</v>
      </c>
      <c r="K28" s="287">
        <f t="shared" si="4"/>
        <v>0</v>
      </c>
    </row>
    <row r="29" spans="1:12" x14ac:dyDescent="0.3">
      <c r="B29" s="479"/>
      <c r="C29" s="479"/>
      <c r="D29" s="479"/>
      <c r="E29" s="479"/>
      <c r="F29" s="479"/>
      <c r="G29" s="479"/>
      <c r="H29" s="299"/>
      <c r="I29" s="299"/>
      <c r="J29" s="299"/>
      <c r="K29" s="299"/>
    </row>
    <row r="30" spans="1:12" x14ac:dyDescent="0.3">
      <c r="B30" s="479"/>
      <c r="C30" s="479">
        <f>30000/G25</f>
        <v>5.35</v>
      </c>
      <c r="D30" s="479">
        <f>N28/G25</f>
        <v>0</v>
      </c>
      <c r="E30" s="479"/>
      <c r="F30" s="479">
        <f>C8/D8</f>
        <v>0.86</v>
      </c>
      <c r="G30" s="479"/>
      <c r="H30" s="299"/>
      <c r="I30" s="299"/>
      <c r="J30" s="299"/>
      <c r="K30" s="299"/>
    </row>
    <row r="31" spans="1:12" x14ac:dyDescent="0.3">
      <c r="B31" s="479"/>
      <c r="C31" s="479"/>
      <c r="D31" s="479"/>
      <c r="E31" s="479"/>
      <c r="F31" s="479">
        <f>100%-F30</f>
        <v>0.14000000000000001</v>
      </c>
      <c r="G31" s="479"/>
      <c r="H31" s="299"/>
      <c r="I31" s="299"/>
      <c r="J31" s="299"/>
      <c r="K31" s="299"/>
    </row>
    <row r="32" spans="1:12" ht="20.399999999999999" x14ac:dyDescent="0.3">
      <c r="B32" s="479"/>
      <c r="C32" s="479"/>
      <c r="D32" s="480">
        <f>6.5+2.1</f>
        <v>8.6</v>
      </c>
      <c r="E32" s="481"/>
      <c r="F32" s="479">
        <f>D32*G25</f>
        <v>48242.559999999998</v>
      </c>
      <c r="G32" s="479"/>
      <c r="H32" s="299"/>
      <c r="I32" s="299"/>
      <c r="J32" s="299"/>
      <c r="K32" s="299"/>
    </row>
    <row r="33" spans="3:11" x14ac:dyDescent="0.3">
      <c r="C33" s="299"/>
      <c r="D33" s="299"/>
      <c r="E33" s="299"/>
      <c r="F33" s="299"/>
      <c r="G33" s="299"/>
      <c r="H33" s="299"/>
      <c r="I33" s="299"/>
      <c r="J33" s="299"/>
      <c r="K33" s="299"/>
    </row>
    <row r="34" spans="3:11" x14ac:dyDescent="0.3">
      <c r="C34" s="299"/>
      <c r="D34" s="299"/>
      <c r="E34" s="299"/>
      <c r="F34" s="299">
        <v>6.5</v>
      </c>
      <c r="G34" s="299" t="s">
        <v>262</v>
      </c>
      <c r="H34" s="299"/>
      <c r="I34" s="299">
        <v>30000</v>
      </c>
      <c r="J34" s="299"/>
      <c r="K34" s="299"/>
    </row>
    <row r="35" spans="3:11" x14ac:dyDescent="0.3">
      <c r="C35" s="299"/>
      <c r="D35" s="299"/>
      <c r="E35" s="299"/>
      <c r="F35" s="299">
        <v>2.1</v>
      </c>
      <c r="G35" s="299" t="s">
        <v>263</v>
      </c>
      <c r="H35" s="299"/>
      <c r="I35" s="299">
        <v>10000</v>
      </c>
      <c r="J35" s="299"/>
      <c r="K35" s="299"/>
    </row>
    <row r="36" spans="3:11" x14ac:dyDescent="0.3">
      <c r="C36" s="299"/>
      <c r="D36" s="299"/>
      <c r="E36" s="299"/>
      <c r="F36" s="299">
        <f>SUM(F34:F35)</f>
        <v>8.6</v>
      </c>
      <c r="G36" s="299"/>
      <c r="H36" s="299"/>
      <c r="I36" s="299">
        <f>SUM(I34:I35)</f>
        <v>40000</v>
      </c>
      <c r="J36" s="299"/>
      <c r="K36" s="299"/>
    </row>
    <row r="37" spans="3:11" x14ac:dyDescent="0.3">
      <c r="C37" s="299"/>
      <c r="D37" s="299"/>
      <c r="E37" s="299"/>
      <c r="F37" s="299"/>
      <c r="G37" s="299"/>
      <c r="H37" s="299"/>
      <c r="I37" s="299"/>
      <c r="J37" s="299"/>
      <c r="K37" s="299"/>
    </row>
    <row r="38" spans="3:11" x14ac:dyDescent="0.3">
      <c r="C38" s="299"/>
      <c r="D38" s="299"/>
      <c r="E38" s="299"/>
      <c r="F38" s="299"/>
      <c r="G38" s="299"/>
      <c r="H38" s="299"/>
      <c r="I38" s="299"/>
      <c r="J38" s="299"/>
      <c r="K38" s="299"/>
    </row>
    <row r="39" spans="3:11" x14ac:dyDescent="0.3">
      <c r="C39" s="299"/>
      <c r="D39" s="299"/>
      <c r="E39" s="299"/>
      <c r="F39" s="299"/>
      <c r="G39" s="299"/>
      <c r="H39" s="299"/>
      <c r="I39" s="299"/>
      <c r="J39" s="299"/>
      <c r="K39" s="299"/>
    </row>
    <row r="40" spans="3:11" x14ac:dyDescent="0.3">
      <c r="C40" s="299"/>
      <c r="D40" s="299"/>
      <c r="E40" s="299"/>
      <c r="F40" s="299"/>
      <c r="G40" s="299"/>
      <c r="H40" s="299"/>
      <c r="I40" s="299"/>
      <c r="J40" s="299"/>
      <c r="K40" s="299"/>
    </row>
    <row r="41" spans="3:11" x14ac:dyDescent="0.3">
      <c r="C41" s="299"/>
      <c r="D41" s="299"/>
      <c r="E41" s="299"/>
      <c r="F41" s="299"/>
      <c r="G41" s="299"/>
      <c r="H41" s="299"/>
      <c r="I41" s="299"/>
      <c r="J41" s="299"/>
      <c r="K41" s="299"/>
    </row>
    <row r="42" spans="3:11" x14ac:dyDescent="0.3">
      <c r="C42" s="299"/>
      <c r="D42" s="299"/>
      <c r="E42" s="299"/>
      <c r="F42" s="299"/>
      <c r="G42" s="299"/>
      <c r="H42" s="299"/>
      <c r="I42" s="299"/>
      <c r="J42" s="299"/>
      <c r="K42" s="299"/>
    </row>
  </sheetData>
  <mergeCells count="10">
    <mergeCell ref="B2:G2"/>
    <mergeCell ref="I2:K2"/>
    <mergeCell ref="B5:B7"/>
    <mergeCell ref="C5:C7"/>
    <mergeCell ref="D5:D7"/>
    <mergeCell ref="E5:E7"/>
    <mergeCell ref="G5:G7"/>
    <mergeCell ref="I5:I7"/>
    <mergeCell ref="J5:J7"/>
    <mergeCell ref="K5:K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13" zoomScale="70" zoomScaleNormal="70" workbookViewId="0">
      <selection activeCell="D20" sqref="D20"/>
    </sheetView>
  </sheetViews>
  <sheetFormatPr defaultColWidth="9.21875" defaultRowHeight="14.4" x14ac:dyDescent="0.3"/>
  <cols>
    <col min="1" max="1" width="68.21875" style="288" customWidth="1"/>
    <col min="2" max="2" width="18.21875" style="298" hidden="1" customWidth="1"/>
    <col min="3" max="3" width="18.21875" style="298" customWidth="1"/>
    <col min="4" max="4" width="24" style="298" customWidth="1"/>
    <col min="5" max="5" width="21.21875" style="298" customWidth="1"/>
    <col min="6" max="6" width="18" style="298" customWidth="1"/>
    <col min="7" max="7" width="22.77734375" style="298" customWidth="1"/>
    <col min="8" max="16384" width="9.21875" style="288"/>
  </cols>
  <sheetData>
    <row r="1" spans="1:9" x14ac:dyDescent="0.3">
      <c r="E1" s="279" t="s">
        <v>239</v>
      </c>
      <c r="G1" s="288"/>
    </row>
    <row r="2" spans="1:9" ht="22.8" x14ac:dyDescent="0.3">
      <c r="A2" s="515" t="s">
        <v>331</v>
      </c>
      <c r="B2" s="515"/>
      <c r="C2" s="515"/>
      <c r="D2" s="391"/>
      <c r="E2" s="391"/>
      <c r="F2" s="391"/>
      <c r="G2" s="391"/>
    </row>
    <row r="3" spans="1:9" ht="30.6" hidden="1" x14ac:dyDescent="0.3">
      <c r="A3" s="392" t="s">
        <v>332</v>
      </c>
      <c r="B3" s="392"/>
      <c r="C3" s="392"/>
      <c r="D3" s="392"/>
      <c r="E3" s="392"/>
      <c r="F3" s="392"/>
      <c r="G3" s="392"/>
    </row>
    <row r="4" spans="1:9" x14ac:dyDescent="0.3">
      <c r="A4" s="393"/>
      <c r="B4" s="393"/>
      <c r="C4" s="393"/>
      <c r="D4" s="393"/>
      <c r="E4" s="393"/>
      <c r="F4" s="393"/>
      <c r="G4" s="393"/>
      <c r="H4" s="516"/>
      <c r="I4" s="516"/>
    </row>
    <row r="5" spans="1:9" s="282" customFormat="1" ht="28.8" x14ac:dyDescent="0.3">
      <c r="A5" s="394" t="s">
        <v>8</v>
      </c>
      <c r="B5" s="395" t="s">
        <v>248</v>
      </c>
      <c r="C5" s="395" t="s">
        <v>333</v>
      </c>
      <c r="D5" s="395" t="s">
        <v>236</v>
      </c>
      <c r="E5" s="395" t="s">
        <v>334</v>
      </c>
      <c r="F5" s="395" t="s">
        <v>220</v>
      </c>
      <c r="G5" s="395" t="s">
        <v>10</v>
      </c>
      <c r="H5" s="272"/>
      <c r="I5" s="272"/>
    </row>
    <row r="6" spans="1:9" ht="31.2" x14ac:dyDescent="0.3">
      <c r="A6" s="396" t="s">
        <v>335</v>
      </c>
      <c r="B6" s="397">
        <v>12</v>
      </c>
      <c r="C6" s="398">
        <f>B6*1.12</f>
        <v>13.44</v>
      </c>
      <c r="D6" s="399">
        <v>2310.1999999999998</v>
      </c>
      <c r="E6" s="399">
        <f>B6*D6</f>
        <v>27722.400000000001</v>
      </c>
      <c r="F6" s="400">
        <v>12</v>
      </c>
      <c r="G6" s="401">
        <f>B6*D6*F6</f>
        <v>332668.79999999999</v>
      </c>
      <c r="H6" s="402"/>
      <c r="I6" s="402"/>
    </row>
    <row r="7" spans="1:9" ht="15.6" x14ac:dyDescent="0.3">
      <c r="A7" s="396" t="s">
        <v>336</v>
      </c>
      <c r="B7" s="397">
        <f>B6-B8</f>
        <v>9</v>
      </c>
      <c r="C7" s="398">
        <f>B7*1.12</f>
        <v>10.08</v>
      </c>
      <c r="D7" s="399">
        <v>2310.1999999999998</v>
      </c>
      <c r="E7" s="399">
        <f>B7*D7</f>
        <v>20791.8</v>
      </c>
      <c r="F7" s="400">
        <v>12</v>
      </c>
      <c r="G7" s="401">
        <f>B7*D7*F7</f>
        <v>249501.6</v>
      </c>
      <c r="H7" s="402"/>
      <c r="I7" s="402"/>
    </row>
    <row r="8" spans="1:9" ht="15.6" x14ac:dyDescent="0.3">
      <c r="A8" s="403" t="s">
        <v>337</v>
      </c>
      <c r="B8" s="404">
        <v>3</v>
      </c>
      <c r="C8" s="405">
        <f>B8*1.12</f>
        <v>3.36</v>
      </c>
      <c r="D8" s="399">
        <f>D6</f>
        <v>2310.1999999999998</v>
      </c>
      <c r="E8" s="399">
        <f>B8*D8</f>
        <v>6930.6</v>
      </c>
      <c r="F8" s="400">
        <v>12</v>
      </c>
      <c r="G8" s="401">
        <f t="shared" ref="G8:G23" si="0">B8*D8*F8</f>
        <v>83167.199999999997</v>
      </c>
      <c r="H8" s="402"/>
      <c r="I8" s="402"/>
    </row>
    <row r="9" spans="1:9" s="290" customFormat="1" ht="31.2" x14ac:dyDescent="0.3">
      <c r="A9" s="396" t="s">
        <v>338</v>
      </c>
      <c r="B9" s="397">
        <f>SUM(B10:B22)</f>
        <v>19.5</v>
      </c>
      <c r="C9" s="398">
        <f>B9*1.12</f>
        <v>21.84</v>
      </c>
      <c r="D9" s="406">
        <f>D8</f>
        <v>2310.1999999999998</v>
      </c>
      <c r="E9" s="406">
        <f t="shared" ref="E9:E23" si="1">B9*D9</f>
        <v>45048.9</v>
      </c>
      <c r="F9" s="400">
        <v>12</v>
      </c>
      <c r="G9" s="407">
        <f t="shared" si="0"/>
        <v>540586.80000000005</v>
      </c>
      <c r="H9" s="408"/>
      <c r="I9" s="408"/>
    </row>
    <row r="10" spans="1:9" ht="46.8" x14ac:dyDescent="0.3">
      <c r="A10" s="403" t="s">
        <v>339</v>
      </c>
      <c r="B10" s="404">
        <v>3.22</v>
      </c>
      <c r="C10" s="405">
        <f>B10*1.12</f>
        <v>3.61</v>
      </c>
      <c r="D10" s="406">
        <f t="shared" ref="D10:D23" si="2">D9</f>
        <v>2310.1999999999998</v>
      </c>
      <c r="E10" s="399">
        <f t="shared" si="1"/>
        <v>7438.8440000000001</v>
      </c>
      <c r="F10" s="400">
        <v>12</v>
      </c>
      <c r="G10" s="401">
        <f t="shared" si="0"/>
        <v>89266.127999999997</v>
      </c>
      <c r="H10" s="402"/>
      <c r="I10" s="402"/>
    </row>
    <row r="11" spans="1:9" ht="15.6" x14ac:dyDescent="0.3">
      <c r="A11" s="409" t="s">
        <v>340</v>
      </c>
      <c r="B11" s="404"/>
      <c r="C11" s="405"/>
      <c r="D11" s="406">
        <f t="shared" si="2"/>
        <v>2310.1999999999998</v>
      </c>
      <c r="E11" s="399">
        <f t="shared" si="1"/>
        <v>0</v>
      </c>
      <c r="F11" s="400">
        <v>12</v>
      </c>
      <c r="G11" s="401">
        <f t="shared" si="0"/>
        <v>0</v>
      </c>
      <c r="H11" s="402"/>
      <c r="I11" s="402"/>
    </row>
    <row r="12" spans="1:9" ht="31.2" x14ac:dyDescent="0.3">
      <c r="A12" s="403" t="s">
        <v>341</v>
      </c>
      <c r="B12" s="404">
        <v>2.54</v>
      </c>
      <c r="C12" s="405">
        <f>B12*1.12</f>
        <v>2.84</v>
      </c>
      <c r="D12" s="406">
        <f t="shared" si="2"/>
        <v>2310.1999999999998</v>
      </c>
      <c r="E12" s="399">
        <f t="shared" si="1"/>
        <v>5867.9080000000004</v>
      </c>
      <c r="F12" s="400">
        <v>12</v>
      </c>
      <c r="G12" s="401">
        <f t="shared" si="0"/>
        <v>70414.895999999993</v>
      </c>
      <c r="H12" s="402"/>
      <c r="I12" s="402"/>
    </row>
    <row r="13" spans="1:9" ht="15.6" x14ac:dyDescent="0.3">
      <c r="A13" s="403" t="s">
        <v>342</v>
      </c>
      <c r="B13" s="404">
        <v>2.2200000000000002</v>
      </c>
      <c r="C13" s="405">
        <f>B13*1.12</f>
        <v>2.4900000000000002</v>
      </c>
      <c r="D13" s="406">
        <f t="shared" si="2"/>
        <v>2310.1999999999998</v>
      </c>
      <c r="E13" s="399">
        <f t="shared" si="1"/>
        <v>5128.6440000000002</v>
      </c>
      <c r="F13" s="400">
        <v>12</v>
      </c>
      <c r="G13" s="401">
        <f t="shared" si="0"/>
        <v>61543.728000000003</v>
      </c>
      <c r="H13" s="402"/>
      <c r="I13" s="402"/>
    </row>
    <row r="14" spans="1:9" ht="31.2" x14ac:dyDescent="0.3">
      <c r="A14" s="403" t="s">
        <v>343</v>
      </c>
      <c r="B14" s="404">
        <v>0.14000000000000001</v>
      </c>
      <c r="C14" s="405">
        <f t="shared" ref="C14:C23" si="3">B14*1.12</f>
        <v>0.16</v>
      </c>
      <c r="D14" s="406">
        <f t="shared" si="2"/>
        <v>2310.1999999999998</v>
      </c>
      <c r="E14" s="399">
        <f t="shared" si="1"/>
        <v>323.428</v>
      </c>
      <c r="F14" s="400">
        <v>12</v>
      </c>
      <c r="G14" s="401">
        <f t="shared" si="0"/>
        <v>3881.136</v>
      </c>
      <c r="H14" s="402"/>
      <c r="I14" s="402"/>
    </row>
    <row r="15" spans="1:9" ht="15.6" x14ac:dyDescent="0.3">
      <c r="A15" s="403" t="s">
        <v>344</v>
      </c>
      <c r="B15" s="404">
        <v>0.92</v>
      </c>
      <c r="C15" s="405">
        <f t="shared" si="3"/>
        <v>1.03</v>
      </c>
      <c r="D15" s="406">
        <f t="shared" si="2"/>
        <v>2310.1999999999998</v>
      </c>
      <c r="E15" s="399">
        <f t="shared" si="1"/>
        <v>2125.384</v>
      </c>
      <c r="F15" s="400">
        <v>12</v>
      </c>
      <c r="G15" s="401">
        <f t="shared" si="0"/>
        <v>25504.608</v>
      </c>
      <c r="H15" s="402"/>
      <c r="I15" s="402"/>
    </row>
    <row r="16" spans="1:9" ht="15.6" x14ac:dyDescent="0.3">
      <c r="A16" s="403" t="s">
        <v>345</v>
      </c>
      <c r="B16" s="404">
        <v>1.42</v>
      </c>
      <c r="C16" s="405">
        <f t="shared" si="3"/>
        <v>1.59</v>
      </c>
      <c r="D16" s="406">
        <f t="shared" si="2"/>
        <v>2310.1999999999998</v>
      </c>
      <c r="E16" s="399">
        <f t="shared" si="1"/>
        <v>3280.4839999999999</v>
      </c>
      <c r="F16" s="400">
        <v>12</v>
      </c>
      <c r="G16" s="401">
        <f t="shared" si="0"/>
        <v>39365.807999999997</v>
      </c>
      <c r="H16" s="402"/>
      <c r="I16" s="402"/>
    </row>
    <row r="17" spans="1:7" ht="15.6" x14ac:dyDescent="0.3">
      <c r="A17" s="403" t="s">
        <v>346</v>
      </c>
      <c r="B17" s="404">
        <v>4.5599999999999996</v>
      </c>
      <c r="C17" s="405">
        <f t="shared" si="3"/>
        <v>5.1100000000000003</v>
      </c>
      <c r="D17" s="406">
        <f>D16</f>
        <v>2310.1999999999998</v>
      </c>
      <c r="E17" s="399">
        <f t="shared" si="1"/>
        <v>10534.512000000001</v>
      </c>
      <c r="F17" s="400">
        <v>12</v>
      </c>
      <c r="G17" s="401">
        <f t="shared" si="0"/>
        <v>126414.144</v>
      </c>
    </row>
    <row r="18" spans="1:7" ht="15.6" x14ac:dyDescent="0.3">
      <c r="A18" s="403" t="s">
        <v>347</v>
      </c>
      <c r="B18" s="404">
        <v>0.66</v>
      </c>
      <c r="C18" s="405">
        <f t="shared" si="3"/>
        <v>0.74</v>
      </c>
      <c r="D18" s="406">
        <f>D17</f>
        <v>2310.1999999999998</v>
      </c>
      <c r="E18" s="399">
        <f t="shared" si="1"/>
        <v>1524.732</v>
      </c>
      <c r="F18" s="400">
        <v>12</v>
      </c>
      <c r="G18" s="401">
        <f t="shared" si="0"/>
        <v>18296.784</v>
      </c>
    </row>
    <row r="19" spans="1:7" ht="15.6" x14ac:dyDescent="0.3">
      <c r="A19" s="403" t="s">
        <v>348</v>
      </c>
      <c r="B19" s="404">
        <v>0.08</v>
      </c>
      <c r="C19" s="405">
        <f t="shared" si="3"/>
        <v>0.09</v>
      </c>
      <c r="D19" s="406">
        <f t="shared" si="2"/>
        <v>2310.1999999999998</v>
      </c>
      <c r="E19" s="399">
        <f t="shared" si="1"/>
        <v>184.816</v>
      </c>
      <c r="F19" s="400">
        <v>12</v>
      </c>
      <c r="G19" s="401">
        <f t="shared" si="0"/>
        <v>2217.7919999999999</v>
      </c>
    </row>
    <row r="20" spans="1:7" ht="31.2" x14ac:dyDescent="0.3">
      <c r="A20" s="403" t="s">
        <v>349</v>
      </c>
      <c r="B20" s="404">
        <v>0.5</v>
      </c>
      <c r="C20" s="405">
        <f t="shared" si="3"/>
        <v>0.56000000000000005</v>
      </c>
      <c r="D20" s="406">
        <f t="shared" si="2"/>
        <v>2310.1999999999998</v>
      </c>
      <c r="E20" s="399">
        <f t="shared" si="1"/>
        <v>1155.0999999999999</v>
      </c>
      <c r="F20" s="400">
        <v>12</v>
      </c>
      <c r="G20" s="401">
        <f t="shared" si="0"/>
        <v>13861.2</v>
      </c>
    </row>
    <row r="21" spans="1:7" ht="31.2" x14ac:dyDescent="0.3">
      <c r="A21" s="403" t="s">
        <v>350</v>
      </c>
      <c r="B21" s="404">
        <v>0.04</v>
      </c>
      <c r="C21" s="405">
        <f t="shared" si="3"/>
        <v>0.04</v>
      </c>
      <c r="D21" s="406">
        <f t="shared" si="2"/>
        <v>2310.1999999999998</v>
      </c>
      <c r="E21" s="399">
        <f t="shared" si="1"/>
        <v>92.408000000000001</v>
      </c>
      <c r="F21" s="400">
        <v>12</v>
      </c>
      <c r="G21" s="401">
        <f t="shared" si="0"/>
        <v>1108.896</v>
      </c>
    </row>
    <row r="22" spans="1:7" s="290" customFormat="1" ht="31.2" x14ac:dyDescent="0.3">
      <c r="A22" s="396" t="s">
        <v>351</v>
      </c>
      <c r="B22" s="397">
        <v>3.2</v>
      </c>
      <c r="C22" s="398">
        <f t="shared" si="3"/>
        <v>3.58</v>
      </c>
      <c r="D22" s="406">
        <f t="shared" si="2"/>
        <v>2310.1999999999998</v>
      </c>
      <c r="E22" s="406">
        <f t="shared" si="1"/>
        <v>7392.64</v>
      </c>
      <c r="F22" s="400">
        <v>12</v>
      </c>
      <c r="G22" s="407">
        <f t="shared" si="0"/>
        <v>88711.679999999993</v>
      </c>
    </row>
    <row r="23" spans="1:7" s="290" customFormat="1" ht="15.6" x14ac:dyDescent="0.3">
      <c r="A23" s="396" t="s">
        <v>197</v>
      </c>
      <c r="B23" s="397">
        <f>B6+B9</f>
        <v>31.5</v>
      </c>
      <c r="C23" s="398">
        <f t="shared" si="3"/>
        <v>35.28</v>
      </c>
      <c r="D23" s="406">
        <f t="shared" si="2"/>
        <v>2310.1999999999998</v>
      </c>
      <c r="E23" s="406">
        <f t="shared" si="1"/>
        <v>72771.3</v>
      </c>
      <c r="F23" s="400">
        <v>12</v>
      </c>
      <c r="G23" s="407">
        <f t="shared" si="0"/>
        <v>873255.6</v>
      </c>
    </row>
    <row r="24" spans="1:7" ht="15.6" x14ac:dyDescent="0.3">
      <c r="A24" s="517" t="s">
        <v>352</v>
      </c>
      <c r="B24" s="517"/>
      <c r="C24" s="517"/>
      <c r="D24" s="517"/>
      <c r="E24" s="517"/>
      <c r="F24" s="517"/>
      <c r="G24" s="517"/>
    </row>
  </sheetData>
  <mergeCells count="3">
    <mergeCell ref="A2:C2"/>
    <mergeCell ref="H4:I4"/>
    <mergeCell ref="A24:G24"/>
  </mergeCells>
  <dataValidations count="2">
    <dataValidation type="list" allowBlank="1" showInputMessage="1" showErrorMessage="1" sqref="A6:A65533">
      <formula1>#REF!</formula1>
    </dataValidation>
    <dataValidation type="list" allowBlank="1" showInputMessage="1" showErrorMessage="1" sqref="A6:A65533">
      <formula1>Справочник_работ_и_услуг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C45"/>
  <sheetViews>
    <sheetView topLeftCell="AJ1" zoomScale="55" zoomScaleNormal="55" workbookViewId="0">
      <selection activeCell="BB14" sqref="A1:BC15"/>
    </sheetView>
  </sheetViews>
  <sheetFormatPr defaultColWidth="9.21875" defaultRowHeight="13.8" x14ac:dyDescent="0.25"/>
  <cols>
    <col min="1" max="1" width="4" style="2" hidden="1" customWidth="1"/>
    <col min="2" max="3" width="46.21875" style="2" hidden="1" customWidth="1"/>
    <col min="4" max="4" width="12.21875" style="2" hidden="1" customWidth="1"/>
    <col min="5" max="5" width="10" style="2" hidden="1" customWidth="1"/>
    <col min="6" max="6" width="10.5546875" style="2" hidden="1" customWidth="1"/>
    <col min="7" max="8" width="15.21875" style="2" hidden="1" customWidth="1"/>
    <col min="9" max="9" width="10.5546875" style="2" hidden="1" customWidth="1"/>
    <col min="10" max="20" width="9.21875" style="2" hidden="1" customWidth="1"/>
    <col min="21" max="21" width="8.77734375" style="2" hidden="1" customWidth="1"/>
    <col min="22" max="22" width="13.21875" style="2" hidden="1" customWidth="1"/>
    <col min="23" max="23" width="24.77734375" style="2" hidden="1" customWidth="1"/>
    <col min="24" max="24" width="11.44140625" style="2" hidden="1" customWidth="1"/>
    <col min="25" max="25" width="33" style="2" hidden="1" customWidth="1"/>
    <col min="26" max="27" width="4" style="2" hidden="1" customWidth="1"/>
    <col min="28" max="28" width="47" style="2" hidden="1" customWidth="1"/>
    <col min="29" max="29" width="56.77734375" style="2" hidden="1" customWidth="1"/>
    <col min="30" max="30" width="8.21875" style="2" hidden="1" customWidth="1"/>
    <col min="31" max="31" width="10" style="2" hidden="1" customWidth="1"/>
    <col min="32" max="32" width="10.5546875" style="2" hidden="1" customWidth="1"/>
    <col min="33" max="34" width="15.21875" style="2" hidden="1" customWidth="1"/>
    <col min="35" max="35" width="5.77734375" style="2" hidden="1" customWidth="1"/>
    <col min="36" max="36" width="76" style="2" customWidth="1"/>
    <col min="37" max="37" width="8.21875" style="2" customWidth="1"/>
    <col min="38" max="38" width="10" style="2" customWidth="1"/>
    <col min="39" max="39" width="13.44140625" style="2" customWidth="1"/>
    <col min="40" max="41" width="15.21875" style="2" customWidth="1"/>
    <col min="42" max="42" width="12.77734375" style="2" customWidth="1"/>
    <col min="43" max="55" width="7" style="2" customWidth="1"/>
    <col min="56" max="16384" width="9.21875" style="2"/>
  </cols>
  <sheetData>
    <row r="1" spans="1:55" ht="63.75" customHeight="1" x14ac:dyDescent="0.35">
      <c r="P1" s="526" t="s">
        <v>106</v>
      </c>
      <c r="Q1" s="526"/>
      <c r="R1" s="526"/>
      <c r="S1" s="526"/>
      <c r="T1" s="526"/>
      <c r="U1" s="526"/>
      <c r="V1" s="526"/>
      <c r="W1" s="526"/>
      <c r="AC1" s="535" t="s">
        <v>198</v>
      </c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 s="535"/>
      <c r="AV1" s="535"/>
      <c r="AW1" s="535"/>
      <c r="AX1" s="526" t="s">
        <v>189</v>
      </c>
      <c r="AY1" s="527"/>
      <c r="AZ1" s="527"/>
      <c r="BA1" s="527"/>
      <c r="BB1" s="527"/>
      <c r="BC1" s="527"/>
    </row>
    <row r="2" spans="1:55" x14ac:dyDescent="0.25">
      <c r="A2" s="17"/>
      <c r="B2" s="542" t="s">
        <v>100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Z2" s="42"/>
      <c r="AA2" s="105"/>
    </row>
    <row r="3" spans="1:55" ht="18.75" customHeight="1" x14ac:dyDescent="0.25">
      <c r="A3" s="536" t="s">
        <v>29</v>
      </c>
      <c r="B3" s="518" t="s">
        <v>25</v>
      </c>
      <c r="C3" s="518" t="s">
        <v>25</v>
      </c>
      <c r="D3" s="518" t="s">
        <v>19</v>
      </c>
      <c r="E3" s="518" t="s">
        <v>15</v>
      </c>
      <c r="F3" s="518" t="s">
        <v>16</v>
      </c>
      <c r="G3" s="518" t="s">
        <v>18</v>
      </c>
      <c r="H3" s="518" t="s">
        <v>70</v>
      </c>
      <c r="I3" s="518" t="s">
        <v>17</v>
      </c>
      <c r="J3" s="549">
        <v>2020</v>
      </c>
      <c r="K3" s="528"/>
      <c r="L3" s="528"/>
      <c r="M3" s="528"/>
      <c r="N3" s="528"/>
      <c r="O3" s="528"/>
      <c r="P3" s="528"/>
      <c r="Q3" s="528"/>
      <c r="R3" s="528"/>
      <c r="S3" s="528"/>
      <c r="T3" s="528"/>
      <c r="U3" s="529"/>
      <c r="V3" s="547" t="s">
        <v>64</v>
      </c>
      <c r="W3" s="545" t="s">
        <v>107</v>
      </c>
      <c r="X3" s="47" t="s">
        <v>65</v>
      </c>
      <c r="Z3" s="536" t="s">
        <v>29</v>
      </c>
      <c r="AA3" s="223" t="s">
        <v>29</v>
      </c>
      <c r="AB3" s="530" t="s">
        <v>25</v>
      </c>
      <c r="AC3" s="532" t="s">
        <v>25</v>
      </c>
      <c r="AD3" s="532" t="s">
        <v>19</v>
      </c>
      <c r="AE3" s="532" t="s">
        <v>15</v>
      </c>
      <c r="AF3" s="532" t="s">
        <v>16</v>
      </c>
      <c r="AG3" s="532" t="s">
        <v>18</v>
      </c>
      <c r="AH3" s="532" t="s">
        <v>140</v>
      </c>
      <c r="AI3" s="520" t="s">
        <v>29</v>
      </c>
      <c r="AJ3" s="518" t="s">
        <v>144</v>
      </c>
      <c r="AK3" s="518" t="s">
        <v>19</v>
      </c>
      <c r="AL3" s="518" t="s">
        <v>15</v>
      </c>
      <c r="AM3" s="518" t="s">
        <v>16</v>
      </c>
      <c r="AN3" s="518" t="s">
        <v>18</v>
      </c>
      <c r="AO3" s="518" t="s">
        <v>210</v>
      </c>
      <c r="AP3" s="518" t="s">
        <v>17</v>
      </c>
      <c r="AQ3" s="528"/>
      <c r="AR3" s="528"/>
      <c r="AS3" s="528"/>
      <c r="AT3" s="528"/>
      <c r="AU3" s="528"/>
      <c r="AV3" s="528"/>
      <c r="AW3" s="528"/>
      <c r="AX3" s="528"/>
      <c r="AY3" s="528"/>
      <c r="AZ3" s="528"/>
      <c r="BA3" s="528"/>
      <c r="BB3" s="529"/>
    </row>
    <row r="4" spans="1:55" ht="63.45" customHeight="1" x14ac:dyDescent="0.25">
      <c r="A4" s="537"/>
      <c r="B4" s="519"/>
      <c r="C4" s="519"/>
      <c r="D4" s="519"/>
      <c r="E4" s="519"/>
      <c r="F4" s="519"/>
      <c r="G4" s="519"/>
      <c r="H4" s="519"/>
      <c r="I4" s="519"/>
      <c r="J4" s="15" t="s">
        <v>40</v>
      </c>
      <c r="K4" s="15" t="s">
        <v>41</v>
      </c>
      <c r="L4" s="15" t="s">
        <v>42</v>
      </c>
      <c r="M4" s="15" t="s">
        <v>43</v>
      </c>
      <c r="N4" s="15" t="s">
        <v>44</v>
      </c>
      <c r="O4" s="15" t="s">
        <v>45</v>
      </c>
      <c r="P4" s="15" t="s">
        <v>46</v>
      </c>
      <c r="Q4" s="15" t="s">
        <v>47</v>
      </c>
      <c r="R4" s="15" t="s">
        <v>48</v>
      </c>
      <c r="S4" s="15" t="s">
        <v>49</v>
      </c>
      <c r="T4" s="15" t="s">
        <v>50</v>
      </c>
      <c r="U4" s="15" t="s">
        <v>51</v>
      </c>
      <c r="V4" s="548"/>
      <c r="W4" s="546"/>
      <c r="X4" s="47"/>
      <c r="Z4" s="537"/>
      <c r="AA4" s="224"/>
      <c r="AB4" s="531"/>
      <c r="AC4" s="533"/>
      <c r="AD4" s="533"/>
      <c r="AE4" s="533"/>
      <c r="AF4" s="534"/>
      <c r="AG4" s="534"/>
      <c r="AH4" s="534"/>
      <c r="AI4" s="521"/>
      <c r="AJ4" s="519"/>
      <c r="AK4" s="519"/>
      <c r="AL4" s="519"/>
      <c r="AM4" s="519"/>
      <c r="AN4" s="519"/>
      <c r="AO4" s="519"/>
      <c r="AP4" s="519"/>
      <c r="AQ4" s="346" t="s">
        <v>40</v>
      </c>
      <c r="AR4" s="346" t="s">
        <v>41</v>
      </c>
      <c r="AS4" s="346" t="s">
        <v>42</v>
      </c>
      <c r="AT4" s="346" t="s">
        <v>43</v>
      </c>
      <c r="AU4" s="346" t="s">
        <v>44</v>
      </c>
      <c r="AV4" s="346" t="s">
        <v>45</v>
      </c>
      <c r="AW4" s="346" t="s">
        <v>46</v>
      </c>
      <c r="AX4" s="346" t="s">
        <v>47</v>
      </c>
      <c r="AY4" s="346" t="s">
        <v>48</v>
      </c>
      <c r="AZ4" s="346" t="s">
        <v>49</v>
      </c>
      <c r="BA4" s="346" t="s">
        <v>50</v>
      </c>
      <c r="BB4" s="346" t="s">
        <v>51</v>
      </c>
    </row>
    <row r="5" spans="1:55" ht="15.6" x14ac:dyDescent="0.25">
      <c r="A5" s="22"/>
      <c r="B5" s="23"/>
      <c r="C5" s="34" t="s">
        <v>52</v>
      </c>
      <c r="D5" s="27"/>
      <c r="E5" s="27"/>
      <c r="F5" s="28"/>
      <c r="G5" s="28">
        <f>357362.44-581602</f>
        <v>-224239.56</v>
      </c>
      <c r="H5" s="41"/>
      <c r="I5" s="24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116">
        <v>514836.98</v>
      </c>
      <c r="W5" s="116" t="s">
        <v>127</v>
      </c>
      <c r="X5" s="47"/>
      <c r="Z5" s="44"/>
      <c r="AA5" s="106">
        <v>1</v>
      </c>
      <c r="AB5" s="112"/>
      <c r="AC5" s="34" t="s">
        <v>136</v>
      </c>
      <c r="AD5" s="45"/>
      <c r="AE5" s="45"/>
      <c r="AF5" s="43"/>
      <c r="AG5" s="97">
        <f>V33</f>
        <v>21704.42</v>
      </c>
      <c r="AH5" s="43"/>
      <c r="AI5" s="144">
        <v>1</v>
      </c>
      <c r="AJ5" s="472" t="s">
        <v>190</v>
      </c>
      <c r="AK5" s="145"/>
      <c r="AL5" s="145"/>
      <c r="AM5" s="146"/>
      <c r="AN5" s="351">
        <f>'[2]К. Беляева 40Б'!$D$94</f>
        <v>-575939.93000000005</v>
      </c>
      <c r="AO5" s="205"/>
      <c r="AP5" s="188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</row>
    <row r="6" spans="1:55" ht="27.75" customHeight="1" x14ac:dyDescent="0.25">
      <c r="A6" s="186"/>
      <c r="B6" s="185"/>
      <c r="C6" s="34"/>
      <c r="D6" s="185"/>
      <c r="E6" s="185"/>
      <c r="F6" s="184"/>
      <c r="G6" s="184"/>
      <c r="H6" s="184"/>
      <c r="I6" s="184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116"/>
      <c r="W6" s="116"/>
      <c r="X6" s="47"/>
      <c r="Z6" s="186"/>
      <c r="AA6" s="186"/>
      <c r="AB6" s="187"/>
      <c r="AC6" s="34"/>
      <c r="AD6" s="185"/>
      <c r="AE6" s="185"/>
      <c r="AF6" s="184"/>
      <c r="AG6" s="97"/>
      <c r="AH6" s="184"/>
      <c r="AI6" s="183"/>
      <c r="AJ6" s="472" t="s">
        <v>317</v>
      </c>
      <c r="AK6" s="185"/>
      <c r="AL6" s="185"/>
      <c r="AM6" s="184"/>
      <c r="AN6" s="351">
        <f>'[3]2025'!$K$97</f>
        <v>90400</v>
      </c>
      <c r="AO6" s="205"/>
      <c r="AP6" s="188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</row>
    <row r="7" spans="1:55" ht="15.6" x14ac:dyDescent="0.25">
      <c r="A7" s="134"/>
      <c r="B7" s="136"/>
      <c r="C7" s="34"/>
      <c r="D7" s="136"/>
      <c r="E7" s="136"/>
      <c r="F7" s="137"/>
      <c r="G7" s="137"/>
      <c r="H7" s="137"/>
      <c r="I7" s="137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116"/>
      <c r="W7" s="116"/>
      <c r="X7" s="47"/>
      <c r="Z7" s="134"/>
      <c r="AA7" s="134">
        <v>2</v>
      </c>
      <c r="AB7" s="135"/>
      <c r="AC7" s="34" t="s">
        <v>137</v>
      </c>
      <c r="AD7" s="136"/>
      <c r="AE7" s="136"/>
      <c r="AF7" s="137"/>
      <c r="AG7" s="97">
        <f>'МКД К.Беляева 40 Б'!E17</f>
        <v>914350.1</v>
      </c>
      <c r="AH7" s="137"/>
      <c r="AI7" s="144">
        <v>2</v>
      </c>
      <c r="AJ7" s="472" t="s">
        <v>312</v>
      </c>
      <c r="AK7" s="145"/>
      <c r="AL7" s="145"/>
      <c r="AM7" s="146"/>
      <c r="AN7" s="352">
        <f>('МКД К.Беляева 40 Б'!E31)</f>
        <v>807917.81</v>
      </c>
      <c r="AO7" s="97"/>
      <c r="AP7" s="146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</row>
    <row r="8" spans="1:55" ht="40.5" customHeight="1" x14ac:dyDescent="0.3">
      <c r="A8" s="243"/>
      <c r="B8" s="164"/>
      <c r="C8" s="244"/>
      <c r="D8" s="241"/>
      <c r="E8" s="241"/>
      <c r="F8" s="245"/>
      <c r="G8" s="245"/>
      <c r="H8" s="240"/>
      <c r="I8" s="240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7"/>
      <c r="W8" s="247"/>
      <c r="X8" s="47"/>
      <c r="Z8" s="242"/>
      <c r="AA8" s="242"/>
      <c r="AB8" s="164"/>
      <c r="AC8" s="34"/>
      <c r="AD8" s="239"/>
      <c r="AE8" s="239"/>
      <c r="AF8" s="240"/>
      <c r="AG8" s="97"/>
      <c r="AH8" s="240"/>
      <c r="AI8" s="238"/>
      <c r="AJ8" s="460" t="s">
        <v>316</v>
      </c>
      <c r="AK8" s="217"/>
      <c r="AL8" s="217"/>
      <c r="AM8" s="217"/>
      <c r="AN8" s="353">
        <v>70000</v>
      </c>
      <c r="AO8" s="256"/>
      <c r="AP8" s="225"/>
      <c r="AQ8" s="213"/>
      <c r="AR8" s="213"/>
      <c r="AS8" s="213"/>
      <c r="AT8" s="213"/>
      <c r="AU8" s="149"/>
      <c r="AV8" s="149"/>
      <c r="AW8" s="149"/>
      <c r="AX8" s="213"/>
      <c r="AY8" s="213"/>
      <c r="AZ8" s="213"/>
      <c r="BA8" s="213"/>
      <c r="BB8" s="211"/>
    </row>
    <row r="9" spans="1:55" ht="31.2" x14ac:dyDescent="0.3">
      <c r="A9" s="243"/>
      <c r="B9" s="164"/>
      <c r="C9" s="244"/>
      <c r="D9" s="233"/>
      <c r="E9" s="233"/>
      <c r="F9" s="245"/>
      <c r="G9" s="245"/>
      <c r="H9" s="236"/>
      <c r="I9" s="23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7"/>
      <c r="W9" s="247"/>
      <c r="X9" s="47"/>
      <c r="Z9" s="237"/>
      <c r="AA9" s="237"/>
      <c r="AB9" s="164"/>
      <c r="AC9" s="34"/>
      <c r="AD9" s="235"/>
      <c r="AE9" s="235"/>
      <c r="AF9" s="236"/>
      <c r="AG9" s="97"/>
      <c r="AH9" s="236"/>
      <c r="AI9" s="234"/>
      <c r="AJ9" s="473" t="s">
        <v>191</v>
      </c>
      <c r="AK9" s="1" t="s">
        <v>192</v>
      </c>
      <c r="AL9" s="248">
        <v>184011.25</v>
      </c>
      <c r="AM9" s="1" t="s">
        <v>193</v>
      </c>
      <c r="AN9" s="354">
        <v>184011.25</v>
      </c>
      <c r="AO9" s="257"/>
      <c r="AP9" s="249"/>
      <c r="AQ9" s="253"/>
      <c r="AR9" s="249"/>
      <c r="AS9" s="249"/>
      <c r="AT9" s="249"/>
      <c r="AU9" s="249"/>
      <c r="AV9" s="249"/>
      <c r="AW9" s="249"/>
      <c r="AX9" s="250"/>
      <c r="AY9" s="249"/>
      <c r="AZ9" s="249"/>
      <c r="BA9" s="249"/>
      <c r="BB9" s="211"/>
    </row>
    <row r="10" spans="1:55" ht="40.049999999999997" customHeight="1" x14ac:dyDescent="0.3">
      <c r="A10" s="543"/>
      <c r="C10" s="554"/>
      <c r="D10" s="552"/>
      <c r="E10" s="550"/>
      <c r="F10" s="522"/>
      <c r="G10" s="524"/>
      <c r="H10" s="35"/>
      <c r="I10" s="11"/>
      <c r="J10" s="524"/>
      <c r="K10" s="524"/>
      <c r="L10" s="524"/>
      <c r="M10" s="524"/>
      <c r="N10" s="540"/>
      <c r="O10" s="540"/>
      <c r="P10" s="540"/>
      <c r="Q10" s="540"/>
      <c r="R10" s="540"/>
      <c r="S10" s="524"/>
      <c r="T10" s="524"/>
      <c r="U10" s="524"/>
      <c r="V10" s="524"/>
      <c r="W10" s="538"/>
      <c r="X10" s="48"/>
      <c r="Z10" s="9"/>
      <c r="AA10" s="9"/>
      <c r="AC10" s="21"/>
      <c r="AD10" s="13"/>
      <c r="AE10" s="29"/>
      <c r="AF10" s="30"/>
      <c r="AG10" s="36"/>
      <c r="AH10" s="11"/>
      <c r="AI10" s="123"/>
      <c r="AJ10" s="476" t="s">
        <v>392</v>
      </c>
      <c r="AK10" s="477" t="s">
        <v>194</v>
      </c>
      <c r="AL10" s="477">
        <v>70000</v>
      </c>
      <c r="AM10" s="477" t="s">
        <v>195</v>
      </c>
      <c r="AN10" s="478">
        <f>AL10</f>
        <v>70000</v>
      </c>
      <c r="AO10" s="258"/>
      <c r="AP10" s="249"/>
      <c r="AQ10" s="253"/>
      <c r="AR10" s="249"/>
      <c r="AS10" s="249"/>
      <c r="AT10" s="249"/>
      <c r="AU10" s="249"/>
      <c r="AV10" s="250"/>
      <c r="AW10" s="249"/>
      <c r="AX10" s="249"/>
      <c r="AY10" s="249"/>
      <c r="AZ10" s="249"/>
      <c r="BA10" s="249"/>
      <c r="BB10" s="213"/>
    </row>
    <row r="11" spans="1:55" ht="35.549999999999997" customHeight="1" x14ac:dyDescent="0.3">
      <c r="A11" s="543"/>
      <c r="C11" s="554"/>
      <c r="D11" s="552"/>
      <c r="E11" s="550"/>
      <c r="F11" s="522"/>
      <c r="G11" s="524"/>
      <c r="H11" s="35"/>
      <c r="I11" s="11"/>
      <c r="J11" s="524"/>
      <c r="K11" s="524"/>
      <c r="L11" s="524"/>
      <c r="M11" s="524"/>
      <c r="N11" s="540"/>
      <c r="O11" s="540"/>
      <c r="P11" s="540"/>
      <c r="Q11" s="540"/>
      <c r="R11" s="540"/>
      <c r="S11" s="524"/>
      <c r="T11" s="524"/>
      <c r="U11" s="524"/>
      <c r="V11" s="524"/>
      <c r="W11" s="538"/>
      <c r="X11" s="48"/>
      <c r="Z11" s="9"/>
      <c r="AA11" s="9"/>
      <c r="AC11" s="21"/>
      <c r="AD11" s="13"/>
      <c r="AE11" s="29"/>
      <c r="AF11" s="30"/>
      <c r="AG11" s="36"/>
      <c r="AH11" s="11"/>
      <c r="AI11" s="123"/>
      <c r="AJ11" s="473" t="s">
        <v>212</v>
      </c>
      <c r="AK11" s="1" t="s">
        <v>194</v>
      </c>
      <c r="AL11" s="251">
        <v>125686.5</v>
      </c>
      <c r="AM11" s="1" t="s">
        <v>195</v>
      </c>
      <c r="AN11" s="355">
        <v>125686.5</v>
      </c>
      <c r="AO11" s="258"/>
      <c r="AP11" s="249"/>
      <c r="AQ11" s="249"/>
      <c r="AR11" s="249"/>
      <c r="AS11" s="249"/>
      <c r="AT11" s="249"/>
      <c r="AU11" s="250"/>
      <c r="AV11" s="252"/>
      <c r="AW11" s="249"/>
      <c r="AX11" s="249"/>
      <c r="AY11" s="249"/>
      <c r="AZ11" s="249"/>
      <c r="BA11" s="249"/>
      <c r="BB11" s="102"/>
    </row>
    <row r="12" spans="1:55" ht="69" customHeight="1" x14ac:dyDescent="0.3">
      <c r="A12" s="543"/>
      <c r="C12" s="554"/>
      <c r="D12" s="552"/>
      <c r="E12" s="550"/>
      <c r="F12" s="522"/>
      <c r="G12" s="524"/>
      <c r="H12" s="35"/>
      <c r="I12" s="11"/>
      <c r="J12" s="524"/>
      <c r="K12" s="524"/>
      <c r="L12" s="524"/>
      <c r="M12" s="524"/>
      <c r="N12" s="540"/>
      <c r="O12" s="540"/>
      <c r="P12" s="540"/>
      <c r="Q12" s="540"/>
      <c r="R12" s="540"/>
      <c r="S12" s="524"/>
      <c r="T12" s="524"/>
      <c r="U12" s="524"/>
      <c r="V12" s="524"/>
      <c r="W12" s="538"/>
      <c r="X12" s="48"/>
      <c r="Z12" s="9"/>
      <c r="AA12" s="9"/>
      <c r="AC12" s="21"/>
      <c r="AD12" s="13"/>
      <c r="AE12" s="29"/>
      <c r="AF12" s="30"/>
      <c r="AG12" s="36"/>
      <c r="AH12" s="11"/>
      <c r="AI12" s="123"/>
      <c r="AJ12" s="454" t="s">
        <v>142</v>
      </c>
      <c r="AK12" s="1" t="s">
        <v>188</v>
      </c>
      <c r="AL12" s="14">
        <v>17200</v>
      </c>
      <c r="AM12" s="1" t="s">
        <v>188</v>
      </c>
      <c r="AN12" s="356">
        <v>17200</v>
      </c>
      <c r="AO12" s="8"/>
      <c r="AP12" s="249"/>
      <c r="AQ12" s="249"/>
      <c r="AR12" s="249"/>
      <c r="AS12" s="250"/>
      <c r="AT12" s="249"/>
      <c r="AU12" s="249"/>
      <c r="AV12" s="249"/>
      <c r="AW12" s="249"/>
      <c r="AX12" s="249"/>
      <c r="AY12" s="249"/>
      <c r="AZ12" s="249"/>
      <c r="BA12" s="249"/>
      <c r="BB12" s="14"/>
    </row>
    <row r="13" spans="1:55" ht="31.5" customHeight="1" x14ac:dyDescent="0.3">
      <c r="A13" s="543"/>
      <c r="C13" s="554"/>
      <c r="D13" s="552"/>
      <c r="E13" s="550"/>
      <c r="F13" s="522"/>
      <c r="G13" s="524"/>
      <c r="H13" s="35"/>
      <c r="I13" s="11"/>
      <c r="J13" s="524"/>
      <c r="K13" s="524"/>
      <c r="L13" s="524"/>
      <c r="M13" s="524"/>
      <c r="N13" s="540"/>
      <c r="O13" s="540"/>
      <c r="P13" s="540"/>
      <c r="Q13" s="540"/>
      <c r="R13" s="540"/>
      <c r="S13" s="524"/>
      <c r="T13" s="524"/>
      <c r="U13" s="524"/>
      <c r="V13" s="524"/>
      <c r="W13" s="538"/>
      <c r="X13" s="48"/>
      <c r="Z13" s="9"/>
      <c r="AA13" s="9"/>
      <c r="AC13" s="21"/>
      <c r="AD13" s="13"/>
      <c r="AE13" s="29"/>
      <c r="AF13" s="30"/>
      <c r="AG13" s="36"/>
      <c r="AH13" s="11"/>
      <c r="AI13" s="123"/>
      <c r="AJ13" s="474" t="s">
        <v>196</v>
      </c>
      <c r="AK13" s="1" t="s">
        <v>188</v>
      </c>
      <c r="AL13" s="249">
        <v>81503.399999999994</v>
      </c>
      <c r="AM13" s="1" t="s">
        <v>188</v>
      </c>
      <c r="AN13" s="354">
        <v>81503.399999999994</v>
      </c>
      <c r="AO13" s="257"/>
      <c r="AP13" s="249"/>
      <c r="AQ13" s="249"/>
      <c r="AR13" s="249"/>
      <c r="AS13" s="250"/>
      <c r="AT13" s="250"/>
      <c r="AU13" s="250"/>
      <c r="AV13" s="250"/>
      <c r="AW13" s="250"/>
      <c r="AX13" s="249"/>
      <c r="AY13" s="249"/>
      <c r="AZ13" s="249"/>
      <c r="BA13" s="249"/>
      <c r="BB13" s="14"/>
    </row>
    <row r="14" spans="1:55" ht="18.75" customHeight="1" x14ac:dyDescent="0.3">
      <c r="A14" s="543"/>
      <c r="C14" s="554"/>
      <c r="D14" s="552"/>
      <c r="E14" s="550"/>
      <c r="F14" s="522"/>
      <c r="G14" s="524"/>
      <c r="H14" s="35"/>
      <c r="I14" s="11"/>
      <c r="J14" s="524"/>
      <c r="K14" s="524"/>
      <c r="L14" s="524"/>
      <c r="M14" s="524"/>
      <c r="N14" s="540"/>
      <c r="O14" s="540"/>
      <c r="P14" s="540"/>
      <c r="Q14" s="540"/>
      <c r="R14" s="540"/>
      <c r="S14" s="524"/>
      <c r="T14" s="524"/>
      <c r="U14" s="524"/>
      <c r="V14" s="524"/>
      <c r="W14" s="538"/>
      <c r="X14" s="48"/>
      <c r="Z14" s="9"/>
      <c r="AA14" s="9"/>
      <c r="AC14" s="21"/>
      <c r="AD14" s="13"/>
      <c r="AE14" s="29"/>
      <c r="AF14" s="30"/>
      <c r="AG14" s="36"/>
      <c r="AH14" s="11"/>
      <c r="AI14" s="123"/>
      <c r="AJ14" s="475" t="s">
        <v>197</v>
      </c>
      <c r="AK14" s="14"/>
      <c r="AL14" s="14"/>
      <c r="AM14" s="14"/>
      <c r="AN14" s="356">
        <f>SUM(AN9:AN13)</f>
        <v>478401.15</v>
      </c>
      <c r="AO14" s="8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</row>
    <row r="15" spans="1:55" x14ac:dyDescent="0.25">
      <c r="A15" s="544"/>
      <c r="C15" s="555"/>
      <c r="D15" s="553"/>
      <c r="E15" s="551"/>
      <c r="F15" s="523"/>
      <c r="G15" s="525"/>
      <c r="H15" s="35"/>
      <c r="I15" s="11"/>
      <c r="J15" s="525"/>
      <c r="K15" s="525"/>
      <c r="L15" s="525"/>
      <c r="M15" s="525"/>
      <c r="N15" s="541"/>
      <c r="O15" s="541"/>
      <c r="P15" s="541"/>
      <c r="Q15" s="541"/>
      <c r="R15" s="541"/>
      <c r="S15" s="525"/>
      <c r="T15" s="525"/>
      <c r="U15" s="525"/>
      <c r="V15" s="525"/>
      <c r="W15" s="539"/>
      <c r="X15" s="48"/>
      <c r="Z15" s="9"/>
      <c r="AA15" s="9" t="s">
        <v>130</v>
      </c>
      <c r="AC15" s="21" t="s">
        <v>104</v>
      </c>
      <c r="AD15" s="13" t="e">
        <f>#REF!</f>
        <v>#REF!</v>
      </c>
      <c r="AE15" s="29">
        <f>AG15/AF15</f>
        <v>6480</v>
      </c>
      <c r="AF15" s="30">
        <v>4</v>
      </c>
      <c r="AG15" s="36">
        <f>13920+12000</f>
        <v>25920</v>
      </c>
      <c r="AH15" s="11">
        <f>AG15</f>
        <v>25920</v>
      </c>
      <c r="AI15" s="123">
        <v>7</v>
      </c>
    </row>
    <row r="16" spans="1:55" ht="27.6" hidden="1" x14ac:dyDescent="0.25">
      <c r="A16" s="107" t="s">
        <v>57</v>
      </c>
      <c r="C16" s="21" t="s">
        <v>33</v>
      </c>
      <c r="D16" s="13" t="s">
        <v>26</v>
      </c>
      <c r="E16" s="29">
        <v>3500</v>
      </c>
      <c r="F16" s="30">
        <v>10</v>
      </c>
      <c r="G16" s="36">
        <v>35000</v>
      </c>
      <c r="H16" s="36"/>
      <c r="I16" s="11">
        <v>10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110">
        <v>60000</v>
      </c>
      <c r="W16" s="122" t="s">
        <v>109</v>
      </c>
      <c r="X16" s="48">
        <f t="shared" ref="X16:X32" si="0">G16-V16</f>
        <v>-25000</v>
      </c>
      <c r="Y16" s="2" t="s">
        <v>72</v>
      </c>
      <c r="Z16" s="9">
        <v>4</v>
      </c>
      <c r="AA16" s="9">
        <v>6</v>
      </c>
      <c r="AC16" s="12" t="s">
        <v>37</v>
      </c>
      <c r="AD16" s="13"/>
      <c r="AE16" s="35" t="e">
        <f>#REF!</f>
        <v>#REF!</v>
      </c>
      <c r="AF16" s="30">
        <v>1</v>
      </c>
      <c r="AG16" s="29">
        <v>60000</v>
      </c>
      <c r="AH16" s="11">
        <v>0</v>
      </c>
      <c r="AI16" s="123">
        <v>8</v>
      </c>
      <c r="AN16" s="18">
        <f>AN5+AN6+AN7-AN14</f>
        <v>-156023.26999999999</v>
      </c>
    </row>
    <row r="17" spans="1:35" x14ac:dyDescent="0.25">
      <c r="A17" s="226"/>
      <c r="C17" s="21"/>
      <c r="D17" s="13"/>
      <c r="E17" s="29"/>
      <c r="F17" s="30"/>
      <c r="G17" s="36"/>
      <c r="H17" s="36"/>
      <c r="I17" s="11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110"/>
      <c r="W17" s="122"/>
      <c r="X17" s="48"/>
      <c r="Z17" s="9"/>
      <c r="AA17" s="9"/>
      <c r="AC17" s="12"/>
      <c r="AD17" s="13"/>
      <c r="AE17" s="35"/>
      <c r="AF17" s="30"/>
      <c r="AG17" s="29"/>
      <c r="AH17" s="11"/>
      <c r="AI17" s="123"/>
    </row>
    <row r="18" spans="1:35" ht="17.25" customHeight="1" x14ac:dyDescent="0.25">
      <c r="A18" s="107">
        <v>4</v>
      </c>
      <c r="C18" s="12" t="s">
        <v>89</v>
      </c>
      <c r="D18" s="13"/>
      <c r="E18" s="35">
        <f>G16</f>
        <v>35000</v>
      </c>
      <c r="F18" s="30">
        <v>1</v>
      </c>
      <c r="G18" s="29">
        <v>60000</v>
      </c>
      <c r="H18" s="29">
        <f>G18</f>
        <v>60000</v>
      </c>
      <c r="I18" s="11">
        <v>1</v>
      </c>
      <c r="J18" s="11"/>
      <c r="K18" s="11"/>
      <c r="L18" s="11"/>
      <c r="M18" s="11"/>
      <c r="N18" s="11"/>
      <c r="O18" s="11"/>
      <c r="P18" s="39"/>
      <c r="Q18" s="39"/>
      <c r="R18" s="39"/>
      <c r="S18" s="11"/>
      <c r="T18" s="11"/>
      <c r="U18" s="11"/>
      <c r="V18" s="117">
        <f>'[4]текущий ремонт'!$E$34+'[4]текущий ремонт'!$E$29+'[4]текущий ремонт'!$E$28+'[4]текущий ремонт'!$E$27</f>
        <v>26625</v>
      </c>
      <c r="W18" s="120" t="s">
        <v>110</v>
      </c>
      <c r="X18" s="48">
        <f>G18-V18</f>
        <v>33375</v>
      </c>
      <c r="Y18" s="2" t="s">
        <v>67</v>
      </c>
      <c r="Z18" s="9">
        <v>5</v>
      </c>
      <c r="AA18" s="9">
        <v>7</v>
      </c>
      <c r="AB18" s="113" t="s">
        <v>138</v>
      </c>
      <c r="AC18" s="12" t="str">
        <f>AB18</f>
        <v>Подготовка к отопительному сезону 2021-2022гг. Сдача опрессовки, промывка теплообменников ГВС ( замена вышедших из строя затворов, шаровых кранов, манометров, термометров и прочего оборудования)</v>
      </c>
      <c r="AD18" s="9" t="s">
        <v>26</v>
      </c>
      <c r="AE18" s="9">
        <f>85000/2</f>
        <v>42500</v>
      </c>
      <c r="AF18" s="107">
        <v>1</v>
      </c>
      <c r="AG18" s="35">
        <f t="shared" ref="AG18" si="1">AE18*AF18</f>
        <v>42500</v>
      </c>
      <c r="AH18" s="11">
        <f>AG18</f>
        <v>42500</v>
      </c>
      <c r="AI18" s="123">
        <v>9</v>
      </c>
    </row>
    <row r="19" spans="1:35" ht="15.75" customHeight="1" x14ac:dyDescent="0.25">
      <c r="A19" s="107">
        <v>5</v>
      </c>
      <c r="C19" s="12" t="s">
        <v>115</v>
      </c>
      <c r="D19" s="13"/>
      <c r="E19" s="35"/>
      <c r="F19" s="30"/>
      <c r="G19" s="29"/>
      <c r="H19" s="29"/>
      <c r="I19" s="11"/>
      <c r="J19" s="11"/>
      <c r="K19" s="11"/>
      <c r="L19" s="11"/>
      <c r="M19" s="11"/>
      <c r="N19" s="11"/>
      <c r="O19" s="11"/>
      <c r="P19" s="39"/>
      <c r="Q19" s="39"/>
      <c r="R19" s="39"/>
      <c r="S19" s="11"/>
      <c r="T19" s="11"/>
      <c r="U19" s="11"/>
      <c r="V19" s="117">
        <f>37108.4375+'[4]текущий ремонт'!$E$16</f>
        <v>41715.94</v>
      </c>
      <c r="W19" s="120" t="s">
        <v>111</v>
      </c>
      <c r="X19" s="48"/>
      <c r="Z19" s="9">
        <v>6</v>
      </c>
      <c r="AA19" s="9">
        <v>9</v>
      </c>
      <c r="AB19" s="113"/>
      <c r="AC19" s="12" t="s">
        <v>76</v>
      </c>
      <c r="AD19" s="9" t="s">
        <v>26</v>
      </c>
      <c r="AE19" s="35">
        <f>AG19</f>
        <v>40000</v>
      </c>
      <c r="AF19" s="107">
        <v>1</v>
      </c>
      <c r="AG19" s="70">
        <v>40000</v>
      </c>
      <c r="AH19" s="11">
        <f>AG19</f>
        <v>40000</v>
      </c>
      <c r="AI19" s="123">
        <v>10</v>
      </c>
    </row>
    <row r="20" spans="1:35" ht="18" customHeight="1" x14ac:dyDescent="0.25">
      <c r="A20" s="123">
        <v>6</v>
      </c>
      <c r="C20" s="12" t="s">
        <v>90</v>
      </c>
      <c r="D20" s="13"/>
      <c r="E20" s="35">
        <v>0</v>
      </c>
      <c r="F20" s="30">
        <v>0</v>
      </c>
      <c r="G20" s="29">
        <v>0</v>
      </c>
      <c r="H20" s="29"/>
      <c r="I20" s="11"/>
      <c r="J20" s="11"/>
      <c r="K20" s="11"/>
      <c r="L20" s="11"/>
      <c r="M20" s="11"/>
      <c r="N20" s="11"/>
      <c r="O20" s="11"/>
      <c r="P20" s="39"/>
      <c r="Q20" s="39"/>
      <c r="R20" s="39"/>
      <c r="S20" s="11"/>
      <c r="T20" s="11"/>
      <c r="U20" s="11"/>
      <c r="V20" s="117">
        <f>'[4]текущий ремонт'!$E$10+'[4]текущий ремонт'!$E$2</f>
        <v>18997.669999999998</v>
      </c>
      <c r="W20" s="120" t="s">
        <v>112</v>
      </c>
      <c r="X20" s="48"/>
      <c r="Z20" s="9">
        <v>7</v>
      </c>
      <c r="AA20" s="9">
        <v>9</v>
      </c>
      <c r="AB20" s="113"/>
      <c r="AC20" s="12" t="s">
        <v>77</v>
      </c>
      <c r="AD20" s="9" t="s">
        <v>78</v>
      </c>
      <c r="AE20" s="35">
        <f>AG20/AF20</f>
        <v>500</v>
      </c>
      <c r="AF20" s="107">
        <v>20</v>
      </c>
      <c r="AG20" s="35">
        <v>10000</v>
      </c>
      <c r="AH20" s="14">
        <v>0</v>
      </c>
      <c r="AI20" s="143">
        <v>11</v>
      </c>
    </row>
    <row r="21" spans="1:35" ht="18" customHeight="1" x14ac:dyDescent="0.25">
      <c r="A21" s="123">
        <v>7</v>
      </c>
      <c r="C21" s="12" t="s">
        <v>87</v>
      </c>
      <c r="D21" s="13"/>
      <c r="E21" s="35"/>
      <c r="F21" s="30"/>
      <c r="G21" s="29">
        <v>0</v>
      </c>
      <c r="H21" s="29"/>
      <c r="I21" s="11"/>
      <c r="J21" s="11"/>
      <c r="K21" s="11"/>
      <c r="L21" s="11"/>
      <c r="M21" s="11"/>
      <c r="N21" s="11"/>
      <c r="O21" s="11"/>
      <c r="P21" s="39"/>
      <c r="Q21" s="39"/>
      <c r="R21" s="39"/>
      <c r="S21" s="11"/>
      <c r="T21" s="11"/>
      <c r="U21" s="11"/>
      <c r="V21" s="117">
        <f>'[4]текущий ремонт'!$E$24+'[4]текущий ремонт'!$E$23+'[4]текущий ремонт'!$E$22</f>
        <v>8043.27</v>
      </c>
      <c r="W21" s="120" t="s">
        <v>113</v>
      </c>
      <c r="X21" s="48"/>
      <c r="Z21" s="9">
        <v>8</v>
      </c>
      <c r="AA21" s="9">
        <v>10</v>
      </c>
      <c r="AB21" s="113"/>
      <c r="AC21" s="12" t="s">
        <v>93</v>
      </c>
      <c r="AD21" s="9" t="s">
        <v>83</v>
      </c>
      <c r="AE21" s="35">
        <f>AG21</f>
        <v>15000</v>
      </c>
      <c r="AF21" s="107">
        <v>1</v>
      </c>
      <c r="AG21" s="35">
        <v>15000</v>
      </c>
      <c r="AH21" s="149"/>
      <c r="AI21" s="156">
        <v>12</v>
      </c>
    </row>
    <row r="22" spans="1:35" ht="15" customHeight="1" x14ac:dyDescent="0.25">
      <c r="A22" s="123">
        <v>8</v>
      </c>
      <c r="C22" s="12" t="s">
        <v>88</v>
      </c>
      <c r="D22" s="13"/>
      <c r="E22" s="35"/>
      <c r="F22" s="30"/>
      <c r="G22" s="29">
        <v>0</v>
      </c>
      <c r="H22" s="29"/>
      <c r="I22" s="11"/>
      <c r="J22" s="11"/>
      <c r="K22" s="11"/>
      <c r="L22" s="11"/>
      <c r="M22" s="11"/>
      <c r="N22" s="11"/>
      <c r="O22" s="11"/>
      <c r="P22" s="39"/>
      <c r="Q22" s="39"/>
      <c r="R22" s="39"/>
      <c r="S22" s="11"/>
      <c r="T22" s="11"/>
      <c r="U22" s="11"/>
      <c r="V22" s="109">
        <f>'[4]текущий ремонт'!$E$35</f>
        <v>11125</v>
      </c>
      <c r="W22" s="78" t="s">
        <v>114</v>
      </c>
      <c r="X22" s="48"/>
      <c r="Z22" s="9">
        <v>9</v>
      </c>
      <c r="AA22" s="9">
        <v>11</v>
      </c>
      <c r="AB22" s="113"/>
      <c r="AC22" s="12" t="s">
        <v>82</v>
      </c>
      <c r="AD22" s="9">
        <v>1</v>
      </c>
      <c r="AE22" s="35"/>
      <c r="AF22" s="107"/>
      <c r="AG22" s="35">
        <v>5000</v>
      </c>
      <c r="AH22" s="14">
        <v>5000</v>
      </c>
      <c r="AI22" s="154"/>
    </row>
    <row r="23" spans="1:35" ht="13.5" customHeight="1" x14ac:dyDescent="0.25">
      <c r="A23" s="123"/>
      <c r="C23" s="12"/>
      <c r="D23" s="13"/>
      <c r="E23" s="35"/>
      <c r="F23" s="30"/>
      <c r="G23" s="29"/>
      <c r="H23" s="29"/>
      <c r="I23" s="11"/>
      <c r="J23" s="11"/>
      <c r="K23" s="11"/>
      <c r="L23" s="11"/>
      <c r="M23" s="11"/>
      <c r="N23" s="11"/>
      <c r="O23" s="11"/>
      <c r="P23" s="39"/>
      <c r="Q23" s="39"/>
      <c r="R23" s="39"/>
      <c r="S23" s="11"/>
      <c r="T23" s="11"/>
      <c r="U23" s="11"/>
      <c r="V23" s="109"/>
      <c r="W23" s="78"/>
      <c r="X23" s="48"/>
      <c r="Z23" s="9"/>
      <c r="AA23" s="9">
        <v>12</v>
      </c>
      <c r="AB23" s="113"/>
      <c r="AC23" s="12" t="s">
        <v>128</v>
      </c>
      <c r="AD23" s="9" t="str">
        <f>AD18</f>
        <v>шт.</v>
      </c>
      <c r="AE23" s="35">
        <f>AG23</f>
        <v>37500</v>
      </c>
      <c r="AF23" s="136">
        <v>1</v>
      </c>
      <c r="AG23" s="35">
        <f>150000/4</f>
        <v>37500</v>
      </c>
      <c r="AH23" s="150">
        <f>AG23</f>
        <v>37500</v>
      </c>
      <c r="AI23" s="155"/>
    </row>
    <row r="24" spans="1:35" ht="15" customHeight="1" x14ac:dyDescent="0.25">
      <c r="A24" s="123"/>
      <c r="C24" s="12"/>
      <c r="D24" s="13"/>
      <c r="E24" s="35"/>
      <c r="F24" s="30"/>
      <c r="G24" s="29"/>
      <c r="H24" s="29"/>
      <c r="I24" s="11"/>
      <c r="J24" s="11"/>
      <c r="K24" s="11"/>
      <c r="L24" s="11"/>
      <c r="M24" s="11"/>
      <c r="N24" s="11"/>
      <c r="O24" s="11"/>
      <c r="P24" s="39"/>
      <c r="Q24" s="39"/>
      <c r="R24" s="39"/>
      <c r="S24" s="11"/>
      <c r="T24" s="11"/>
      <c r="U24" s="11"/>
      <c r="V24" s="109"/>
      <c r="W24" s="78"/>
      <c r="X24" s="48"/>
      <c r="Z24" s="9"/>
      <c r="AA24" s="9">
        <v>13</v>
      </c>
      <c r="AB24" s="113"/>
      <c r="AC24" s="12" t="s">
        <v>38</v>
      </c>
      <c r="AD24" s="9"/>
      <c r="AE24" s="35">
        <f>AG24</f>
        <v>68400</v>
      </c>
      <c r="AF24" s="138">
        <v>1</v>
      </c>
      <c r="AG24" s="35">
        <v>68400</v>
      </c>
      <c r="AH24" s="11">
        <f>AG24</f>
        <v>68400</v>
      </c>
      <c r="AI24" s="152"/>
    </row>
    <row r="25" spans="1:35" ht="12.75" customHeight="1" x14ac:dyDescent="0.25">
      <c r="A25" s="123">
        <v>9</v>
      </c>
      <c r="C25" s="12" t="s">
        <v>91</v>
      </c>
      <c r="D25" s="13"/>
      <c r="E25" s="35"/>
      <c r="F25" s="30"/>
      <c r="G25" s="29">
        <v>0</v>
      </c>
      <c r="H25" s="29"/>
      <c r="I25" s="11"/>
      <c r="J25" s="11"/>
      <c r="K25" s="11"/>
      <c r="L25" s="11"/>
      <c r="M25" s="11"/>
      <c r="N25" s="11"/>
      <c r="O25" s="11"/>
      <c r="P25" s="39"/>
      <c r="Q25" s="39"/>
      <c r="R25" s="39"/>
      <c r="S25" s="11"/>
      <c r="T25" s="11"/>
      <c r="U25" s="11"/>
      <c r="V25" s="109">
        <v>13754</v>
      </c>
      <c r="W25" s="78" t="s">
        <v>111</v>
      </c>
      <c r="X25" s="48"/>
      <c r="Z25" s="9">
        <v>10</v>
      </c>
      <c r="AA25" s="9">
        <v>14</v>
      </c>
      <c r="AB25" s="113"/>
      <c r="AC25" s="63" t="s">
        <v>53</v>
      </c>
      <c r="AD25" s="55"/>
      <c r="AE25" s="64"/>
      <c r="AF25" s="64"/>
      <c r="AG25" s="58" t="e">
        <f>#REF!+#REF!+#REF!+#REF!+AG15+AG16+AG18+AG19+AG20+AG21+AG22+AG23+AG24</f>
        <v>#REF!</v>
      </c>
      <c r="AH25" s="11" t="e">
        <f>#REF!+#REF!+#REF!+AH15+AH18+AH19+AH22+AH23</f>
        <v>#REF!</v>
      </c>
      <c r="AI25" s="152"/>
    </row>
    <row r="26" spans="1:35" ht="12" customHeight="1" x14ac:dyDescent="0.25">
      <c r="A26" s="123">
        <v>10</v>
      </c>
      <c r="C26" s="12" t="s">
        <v>94</v>
      </c>
      <c r="D26" s="13"/>
      <c r="E26" s="35"/>
      <c r="F26" s="30"/>
      <c r="G26" s="29">
        <v>0</v>
      </c>
      <c r="H26" s="29"/>
      <c r="I26" s="11"/>
      <c r="J26" s="11"/>
      <c r="K26" s="11"/>
      <c r="L26" s="11"/>
      <c r="M26" s="11"/>
      <c r="N26" s="11"/>
      <c r="O26" s="11"/>
      <c r="P26" s="39"/>
      <c r="Q26" s="39"/>
      <c r="R26" s="39"/>
      <c r="S26" s="11"/>
      <c r="T26" s="11"/>
      <c r="U26" s="11"/>
      <c r="V26" s="117">
        <f>'[4]текущий ремонт'!$E$14</f>
        <v>15147.88</v>
      </c>
      <c r="W26" s="120" t="str">
        <f>W25</f>
        <v>факт</v>
      </c>
      <c r="X26" s="48"/>
      <c r="Z26" s="9">
        <v>11</v>
      </c>
      <c r="AA26" s="9">
        <v>15</v>
      </c>
      <c r="AB26" s="113"/>
      <c r="AC26" s="61" t="s">
        <v>54</v>
      </c>
      <c r="AD26" s="61"/>
      <c r="AE26" s="61"/>
      <c r="AF26" s="61"/>
      <c r="AG26" s="58" t="e">
        <f>AG5+AG7-AG25</f>
        <v>#REF!</v>
      </c>
      <c r="AH26" s="151" t="e">
        <f>AG5+AG7-AH25</f>
        <v>#REF!</v>
      </c>
      <c r="AI26" s="153"/>
    </row>
    <row r="27" spans="1:35" ht="31.5" hidden="1" customHeight="1" x14ac:dyDescent="0.25">
      <c r="A27" s="123">
        <v>11</v>
      </c>
      <c r="C27" s="12" t="s">
        <v>92</v>
      </c>
      <c r="D27" s="13"/>
      <c r="E27" s="35"/>
      <c r="F27" s="30"/>
      <c r="G27" s="29">
        <v>0</v>
      </c>
      <c r="H27" s="29"/>
      <c r="I27" s="11"/>
      <c r="J27" s="11"/>
      <c r="K27" s="11"/>
      <c r="L27" s="11"/>
      <c r="M27" s="11"/>
      <c r="N27" s="11"/>
      <c r="O27" s="11"/>
      <c r="P27" s="39"/>
      <c r="Q27" s="39"/>
      <c r="R27" s="39"/>
      <c r="S27" s="11"/>
      <c r="T27" s="11"/>
      <c r="U27" s="11"/>
      <c r="V27" s="117">
        <f>'[4]текущий ремонт'!$E$15+'[4]текущий ремонт'!$E$3</f>
        <v>19197.28</v>
      </c>
      <c r="W27" s="120" t="s">
        <v>111</v>
      </c>
      <c r="X27" s="48"/>
      <c r="Z27" s="9">
        <v>12</v>
      </c>
      <c r="AA27" s="9"/>
      <c r="AB27" s="113"/>
    </row>
    <row r="28" spans="1:35" ht="69" hidden="1" x14ac:dyDescent="0.25">
      <c r="A28" s="107">
        <v>12</v>
      </c>
      <c r="B28" s="12" t="s">
        <v>31</v>
      </c>
      <c r="C28" s="12" t="str">
        <f>B28</f>
        <v>Подготовка к отопительному сезону 2019-2020гг. Сдача опрессовки, промывка теплообменников ГВС ( замена вышедших из строя затворов, шаровых кранов, манометров, термометров и прочего оборудования)</v>
      </c>
      <c r="D28" s="9" t="s">
        <v>26</v>
      </c>
      <c r="E28" s="9">
        <f>85000/2</f>
        <v>42500</v>
      </c>
      <c r="F28" s="14">
        <v>1</v>
      </c>
      <c r="G28" s="35">
        <f t="shared" ref="G28:G29" si="2">E28*F28</f>
        <v>42500</v>
      </c>
      <c r="H28" s="35">
        <f>G28</f>
        <v>42500</v>
      </c>
      <c r="I28" s="14">
        <v>1</v>
      </c>
      <c r="J28" s="14"/>
      <c r="K28" s="14"/>
      <c r="L28" s="14"/>
      <c r="M28" s="14"/>
      <c r="N28" s="14"/>
      <c r="O28" s="40"/>
      <c r="P28" s="40"/>
      <c r="Q28" s="40"/>
      <c r="R28" s="14"/>
      <c r="S28" s="14"/>
      <c r="T28" s="14"/>
      <c r="U28" s="14"/>
      <c r="V28" s="110">
        <f>H28</f>
        <v>42500</v>
      </c>
      <c r="W28" s="122" t="s">
        <v>116</v>
      </c>
      <c r="X28" s="48">
        <f t="shared" si="0"/>
        <v>0</v>
      </c>
      <c r="Y28" s="2" t="s">
        <v>66</v>
      </c>
      <c r="Z28" s="9">
        <v>13</v>
      </c>
      <c r="AA28" s="9"/>
      <c r="AB28" s="113"/>
      <c r="AC28" s="2" t="s">
        <v>75</v>
      </c>
      <c r="AG28" s="18">
        <f>'МКД К.Беляева 40 Б'!E17</f>
        <v>914350.1</v>
      </c>
      <c r="AH28" s="18" t="e">
        <f>'МКД К.Беляева 40 Б'!AC17-'ТК МКД К.Беляева 40 Б'!#REF!</f>
        <v>#REF!</v>
      </c>
      <c r="AI28" s="18"/>
    </row>
    <row r="29" spans="1:35" ht="15" hidden="1" customHeight="1" x14ac:dyDescent="0.25">
      <c r="A29" s="107">
        <v>13</v>
      </c>
      <c r="B29" s="12"/>
      <c r="C29" s="12" t="s">
        <v>27</v>
      </c>
      <c r="D29" s="9" t="s">
        <v>28</v>
      </c>
      <c r="E29" s="32">
        <v>500</v>
      </c>
      <c r="F29" s="30">
        <v>20</v>
      </c>
      <c r="G29" s="36">
        <f t="shared" si="2"/>
        <v>10000</v>
      </c>
      <c r="H29" s="35"/>
      <c r="I29" s="14"/>
      <c r="J29" s="14"/>
      <c r="K29" s="14"/>
      <c r="L29" s="14"/>
      <c r="M29" s="14"/>
      <c r="N29" s="14"/>
      <c r="O29" s="40"/>
      <c r="P29" s="40"/>
      <c r="Q29" s="40"/>
      <c r="R29" s="14"/>
      <c r="S29" s="14"/>
      <c r="T29" s="14"/>
      <c r="U29" s="14"/>
      <c r="V29" s="110"/>
      <c r="W29" s="122"/>
      <c r="X29" s="48"/>
      <c r="Z29" s="55">
        <v>14</v>
      </c>
      <c r="AA29" s="55"/>
      <c r="AB29" s="61"/>
      <c r="AF29" s="2" t="s">
        <v>60</v>
      </c>
      <c r="AG29" s="2">
        <v>5.52</v>
      </c>
      <c r="AH29" s="18" t="s">
        <v>61</v>
      </c>
      <c r="AI29" s="18"/>
    </row>
    <row r="30" spans="1:35" hidden="1" x14ac:dyDescent="0.25">
      <c r="A30" s="107">
        <v>14</v>
      </c>
      <c r="B30" s="12" t="s">
        <v>38</v>
      </c>
      <c r="C30" s="12" t="s">
        <v>39</v>
      </c>
      <c r="D30" s="9" t="s">
        <v>26</v>
      </c>
      <c r="E30" s="36">
        <f>G30</f>
        <v>10500</v>
      </c>
      <c r="F30" s="33">
        <v>1</v>
      </c>
      <c r="G30" s="36">
        <v>10500</v>
      </c>
      <c r="H30" s="36">
        <f>G30</f>
        <v>10500</v>
      </c>
      <c r="I30" s="14">
        <v>1</v>
      </c>
      <c r="J30" s="14"/>
      <c r="K30" s="14"/>
      <c r="L30" s="14"/>
      <c r="M30" s="40"/>
      <c r="N30" s="14"/>
      <c r="O30" s="14"/>
      <c r="P30" s="14"/>
      <c r="Q30" s="14"/>
      <c r="R30" s="14"/>
      <c r="S30" s="14"/>
      <c r="T30" s="14"/>
      <c r="U30" s="14"/>
      <c r="V30" s="110">
        <f>G30</f>
        <v>10500</v>
      </c>
      <c r="W30" s="122" t="s">
        <v>117</v>
      </c>
      <c r="X30" s="48">
        <f t="shared" si="0"/>
        <v>0</v>
      </c>
      <c r="AG30" s="2">
        <v>19.3</v>
      </c>
      <c r="AH30" s="2" t="s">
        <v>62</v>
      </c>
    </row>
    <row r="31" spans="1:35" ht="27.6" hidden="1" x14ac:dyDescent="0.25">
      <c r="A31" s="107">
        <v>15</v>
      </c>
      <c r="B31" s="12"/>
      <c r="C31" s="12" t="s">
        <v>69</v>
      </c>
      <c r="D31" s="9" t="s">
        <v>26</v>
      </c>
      <c r="E31" s="2">
        <v>0</v>
      </c>
      <c r="F31" s="33">
        <v>0</v>
      </c>
      <c r="G31" s="36">
        <v>0</v>
      </c>
      <c r="H31" s="14">
        <v>1</v>
      </c>
      <c r="I31" s="14"/>
      <c r="J31" s="14"/>
      <c r="K31" s="14"/>
      <c r="L31" s="40"/>
      <c r="M31" s="14"/>
      <c r="N31" s="14"/>
      <c r="O31" s="14"/>
      <c r="P31" s="14"/>
      <c r="Q31" s="14"/>
      <c r="R31" s="14"/>
      <c r="S31" s="14"/>
      <c r="T31" s="14"/>
      <c r="V31" s="110">
        <v>1287</v>
      </c>
      <c r="W31" s="122" t="s">
        <v>118</v>
      </c>
      <c r="X31" s="48">
        <f t="shared" si="0"/>
        <v>-1287</v>
      </c>
    </row>
    <row r="32" spans="1:35" hidden="1" x14ac:dyDescent="0.25">
      <c r="A32" s="107">
        <v>16</v>
      </c>
      <c r="B32" s="12"/>
      <c r="C32" s="12" t="s">
        <v>53</v>
      </c>
      <c r="D32" s="9"/>
      <c r="E32" s="33"/>
      <c r="F32" s="33"/>
      <c r="G32" s="37" t="e">
        <f>#REF!+#REF!+#REF!+G18+G28+G30+G29</f>
        <v>#REF!</v>
      </c>
      <c r="H32" s="37">
        <f>SUM(H10:H30)</f>
        <v>113000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18">
        <f>SUM(V10:V31)</f>
        <v>268893</v>
      </c>
      <c r="W32" s="122"/>
      <c r="X32" s="48" t="e">
        <f t="shared" si="0"/>
        <v>#REF!</v>
      </c>
    </row>
    <row r="33" spans="1:34" hidden="1" x14ac:dyDescent="0.25">
      <c r="A33" s="55">
        <v>17</v>
      </c>
      <c r="B33" s="61"/>
      <c r="C33" s="61" t="s">
        <v>54</v>
      </c>
      <c r="D33" s="61"/>
      <c r="E33" s="61"/>
      <c r="F33" s="61"/>
      <c r="G33" s="58" t="e">
        <f>G32+224239.56-'МКД К.Беляева 40 Б'!E17</f>
        <v>#REF!</v>
      </c>
      <c r="H33" s="58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119">
        <f>G5+V5-V32</f>
        <v>21704.42</v>
      </c>
      <c r="W33" s="119"/>
      <c r="X33" s="47"/>
    </row>
    <row r="34" spans="1:34" hidden="1" x14ac:dyDescent="0.25"/>
    <row r="35" spans="1:34" x14ac:dyDescent="0.25">
      <c r="G35" s="18" t="e">
        <f>(H32/'МКД К.Беляева 40 Б'!#REF!)/12</f>
        <v>#REF!</v>
      </c>
      <c r="H35" s="18">
        <f>'МКД К.Беляева 40 Б'!E17-'ТК МКД К.Беляева 40 Б'!H32</f>
        <v>801350.1</v>
      </c>
      <c r="K35" s="67" t="e">
        <f>V5-G33</f>
        <v>#REF!</v>
      </c>
      <c r="V35" s="67" t="e">
        <f>V33+'ТК МКД К.Беляева 40 В'!V41+'ТК МКД К.Беляева 40 Г'!U32+'ТК МКД К.Беляева 40 Д'!#REF!</f>
        <v>#REF!</v>
      </c>
      <c r="W35" s="67"/>
      <c r="Y35" s="2" t="s">
        <v>73</v>
      </c>
      <c r="AH35" s="2" t="s">
        <v>141</v>
      </c>
    </row>
    <row r="36" spans="1:34" x14ac:dyDescent="0.25">
      <c r="F36" s="2" t="s">
        <v>60</v>
      </c>
      <c r="G36" s="2">
        <v>5.52</v>
      </c>
      <c r="H36" s="18" t="s">
        <v>61</v>
      </c>
    </row>
    <row r="37" spans="1:34" x14ac:dyDescent="0.25">
      <c r="G37" s="2">
        <v>19.3</v>
      </c>
      <c r="H37" s="2" t="s">
        <v>62</v>
      </c>
      <c r="I37" s="2" t="s">
        <v>63</v>
      </c>
      <c r="K37" s="16"/>
    </row>
    <row r="38" spans="1:34" x14ac:dyDescent="0.25">
      <c r="AC38" s="16"/>
    </row>
    <row r="39" spans="1:34" x14ac:dyDescent="0.25">
      <c r="V39" s="96">
        <f>'[4]текущий ремонт'!$E$44-V32</f>
        <v>330274.65000000002</v>
      </c>
      <c r="W39" s="96"/>
    </row>
    <row r="43" spans="1:34" x14ac:dyDescent="0.25">
      <c r="C43" s="2" t="s">
        <v>99</v>
      </c>
      <c r="D43" s="16" t="e">
        <f>V32+'ТК МКД К.Беляева 40 В'!V40+'ТК МКД К.Беляева 40 Г'!U32+'ТК МКД К.Беляева 40 Д'!#REF!</f>
        <v>#REF!</v>
      </c>
    </row>
    <row r="44" spans="1:34" x14ac:dyDescent="0.25">
      <c r="D44" s="96">
        <f>'[4]текущий ремонт'!$E$47</f>
        <v>2353876.3199999998</v>
      </c>
    </row>
    <row r="45" spans="1:34" x14ac:dyDescent="0.25">
      <c r="D45" s="96" t="e">
        <f>D44-D43</f>
        <v>#REF!</v>
      </c>
    </row>
  </sheetData>
  <mergeCells count="53">
    <mergeCell ref="B2:U2"/>
    <mergeCell ref="P1:W1"/>
    <mergeCell ref="A10:A15"/>
    <mergeCell ref="W3:W4"/>
    <mergeCell ref="V3:V4"/>
    <mergeCell ref="J3:U3"/>
    <mergeCell ref="I3:I4"/>
    <mergeCell ref="F3:F4"/>
    <mergeCell ref="E3:E4"/>
    <mergeCell ref="B3:B4"/>
    <mergeCell ref="A3:A4"/>
    <mergeCell ref="N10:N15"/>
    <mergeCell ref="M10:M15"/>
    <mergeCell ref="E10:E15"/>
    <mergeCell ref="D10:D15"/>
    <mergeCell ref="C10:C15"/>
    <mergeCell ref="S10:S15"/>
    <mergeCell ref="R10:R15"/>
    <mergeCell ref="Q10:Q15"/>
    <mergeCell ref="P10:P15"/>
    <mergeCell ref="O10:O15"/>
    <mergeCell ref="Z3:Z4"/>
    <mergeCell ref="W10:W15"/>
    <mergeCell ref="V10:V15"/>
    <mergeCell ref="U10:U15"/>
    <mergeCell ref="T10:T15"/>
    <mergeCell ref="G3:G4"/>
    <mergeCell ref="D3:D4"/>
    <mergeCell ref="C3:C4"/>
    <mergeCell ref="H3:H4"/>
    <mergeCell ref="AX1:BC1"/>
    <mergeCell ref="AQ3:BB3"/>
    <mergeCell ref="AB3:AB4"/>
    <mergeCell ref="AC3:AC4"/>
    <mergeCell ref="AD3:AD4"/>
    <mergeCell ref="AE3:AE4"/>
    <mergeCell ref="AF3:AF4"/>
    <mergeCell ref="AG3:AG4"/>
    <mergeCell ref="AH3:AH4"/>
    <mergeCell ref="AC1:AW1"/>
    <mergeCell ref="AJ3:AJ4"/>
    <mergeCell ref="AK3:AK4"/>
    <mergeCell ref="F10:F15"/>
    <mergeCell ref="G10:G15"/>
    <mergeCell ref="J10:J15"/>
    <mergeCell ref="K10:K15"/>
    <mergeCell ref="L10:L15"/>
    <mergeCell ref="AN3:AN4"/>
    <mergeCell ref="AP3:AP4"/>
    <mergeCell ref="AI3:AI4"/>
    <mergeCell ref="AL3:AL4"/>
    <mergeCell ref="AM3:AM4"/>
    <mergeCell ref="AO3:AO4"/>
  </mergeCells>
  <pageMargins left="0.23622047244094491" right="0.23622047244094491" top="0.74803149606299213" bottom="0.74803149606299213" header="0.31496062992125984" footer="0.31496062992125984"/>
  <pageSetup paperSize="9" scale="5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46"/>
  <sheetViews>
    <sheetView topLeftCell="AO1" zoomScale="55" zoomScaleNormal="55" workbookViewId="0">
      <selection activeCell="BE18" sqref="A1:BE18"/>
    </sheetView>
  </sheetViews>
  <sheetFormatPr defaultColWidth="9.21875" defaultRowHeight="13.8" x14ac:dyDescent="0.25"/>
  <cols>
    <col min="1" max="1" width="4" style="2" hidden="1" customWidth="1"/>
    <col min="2" max="3" width="46.21875" style="2" hidden="1" customWidth="1"/>
    <col min="4" max="4" width="8.21875" style="2" hidden="1" customWidth="1"/>
    <col min="5" max="5" width="10" style="2" hidden="1" customWidth="1"/>
    <col min="6" max="6" width="10.5546875" style="2" hidden="1" customWidth="1"/>
    <col min="7" max="7" width="15.21875" style="2" hidden="1" customWidth="1"/>
    <col min="8" max="8" width="10.5546875" style="2" hidden="1" customWidth="1"/>
    <col min="9" max="21" width="9.21875" style="2" hidden="1" customWidth="1"/>
    <col min="22" max="22" width="13.21875" style="2" hidden="1" customWidth="1"/>
    <col min="23" max="23" width="18.77734375" style="2" hidden="1" customWidth="1"/>
    <col min="24" max="24" width="13.21875" style="2" hidden="1" customWidth="1"/>
    <col min="25" max="25" width="4" style="2" hidden="1" customWidth="1"/>
    <col min="26" max="27" width="46.21875" style="2" hidden="1" customWidth="1"/>
    <col min="28" max="28" width="8.21875" style="2" hidden="1" customWidth="1"/>
    <col min="29" max="29" width="10" style="2" hidden="1" customWidth="1"/>
    <col min="30" max="30" width="10.5546875" style="2" hidden="1" customWidth="1"/>
    <col min="31" max="31" width="15.21875" style="2" hidden="1" customWidth="1"/>
    <col min="32" max="32" width="15.44140625" style="2" hidden="1" customWidth="1"/>
    <col min="33" max="33" width="4.44140625" style="2" hidden="1" customWidth="1"/>
    <col min="34" max="34" width="46.77734375" style="2" hidden="1" customWidth="1"/>
    <col min="35" max="35" width="8.21875" style="2" hidden="1" customWidth="1"/>
    <col min="36" max="36" width="10" style="2" hidden="1" customWidth="1"/>
    <col min="37" max="37" width="10.5546875" style="2" hidden="1" customWidth="1"/>
    <col min="38" max="38" width="15.21875" style="2" hidden="1" customWidth="1"/>
    <col min="39" max="39" width="15.44140625" style="2" hidden="1" customWidth="1"/>
    <col min="40" max="40" width="4.5546875" style="2" hidden="1" customWidth="1"/>
    <col min="41" max="41" width="76.77734375" style="2" customWidth="1"/>
    <col min="42" max="42" width="8.21875" style="2" customWidth="1"/>
    <col min="43" max="43" width="10" style="2" customWidth="1"/>
    <col min="44" max="44" width="16.5546875" style="2" customWidth="1"/>
    <col min="45" max="45" width="16.77734375" style="2" customWidth="1"/>
    <col min="46" max="57" width="7.5546875" style="2" customWidth="1"/>
    <col min="58" max="16384" width="9.21875" style="2"/>
  </cols>
  <sheetData>
    <row r="1" spans="1:58" ht="63.75" customHeight="1" x14ac:dyDescent="0.35">
      <c r="P1" s="526" t="s">
        <v>106</v>
      </c>
      <c r="Q1" s="527"/>
      <c r="R1" s="527"/>
      <c r="S1" s="527"/>
      <c r="T1" s="527"/>
      <c r="U1" s="527"/>
      <c r="Z1" s="535" t="s">
        <v>200</v>
      </c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 s="535"/>
      <c r="AV1" s="535"/>
      <c r="AW1" s="535"/>
      <c r="AX1" s="535"/>
      <c r="AZ1" s="565" t="s">
        <v>189</v>
      </c>
      <c r="BA1" s="566"/>
      <c r="BB1" s="566"/>
      <c r="BC1" s="566"/>
      <c r="BD1" s="566"/>
      <c r="BE1" s="566"/>
    </row>
    <row r="2" spans="1:58" x14ac:dyDescent="0.25">
      <c r="A2" s="17"/>
      <c r="B2" s="542" t="s">
        <v>103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Y2" s="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</row>
    <row r="3" spans="1:58" ht="30" customHeight="1" x14ac:dyDescent="0.25">
      <c r="A3" s="564" t="s">
        <v>29</v>
      </c>
      <c r="B3" s="532" t="s">
        <v>25</v>
      </c>
      <c r="C3" s="532" t="s">
        <v>25</v>
      </c>
      <c r="D3" s="532" t="s">
        <v>19</v>
      </c>
      <c r="E3" s="532" t="s">
        <v>15</v>
      </c>
      <c r="F3" s="532" t="s">
        <v>16</v>
      </c>
      <c r="G3" s="532" t="s">
        <v>18</v>
      </c>
      <c r="H3" s="532" t="s">
        <v>17</v>
      </c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V3" s="562" t="s">
        <v>98</v>
      </c>
      <c r="W3" s="563"/>
      <c r="X3" s="47" t="s">
        <v>97</v>
      </c>
      <c r="Y3" s="564" t="s">
        <v>29</v>
      </c>
      <c r="Z3" s="518" t="s">
        <v>25</v>
      </c>
      <c r="AA3" s="532" t="s">
        <v>25</v>
      </c>
      <c r="AB3" s="532" t="s">
        <v>19</v>
      </c>
      <c r="AC3" s="532" t="s">
        <v>15</v>
      </c>
      <c r="AD3" s="532" t="s">
        <v>16</v>
      </c>
      <c r="AE3" s="532" t="s">
        <v>18</v>
      </c>
      <c r="AF3" s="532" t="s">
        <v>17</v>
      </c>
      <c r="AG3" s="518" t="s">
        <v>29</v>
      </c>
      <c r="AH3" s="560" t="s">
        <v>25</v>
      </c>
      <c r="AI3" s="532" t="s">
        <v>19</v>
      </c>
      <c r="AJ3" s="532" t="s">
        <v>15</v>
      </c>
      <c r="AK3" s="532" t="s">
        <v>16</v>
      </c>
      <c r="AL3" s="532" t="s">
        <v>18</v>
      </c>
      <c r="AM3" s="532" t="s">
        <v>17</v>
      </c>
      <c r="AN3" s="518" t="s">
        <v>29</v>
      </c>
      <c r="AO3" s="558" t="s">
        <v>144</v>
      </c>
      <c r="AP3" s="556" t="s">
        <v>19</v>
      </c>
      <c r="AQ3" s="556" t="s">
        <v>15</v>
      </c>
      <c r="AR3" s="556" t="s">
        <v>16</v>
      </c>
      <c r="AS3" s="556" t="s">
        <v>18</v>
      </c>
      <c r="AT3" s="564" t="s">
        <v>201</v>
      </c>
      <c r="AU3" s="564"/>
      <c r="AV3" s="564"/>
      <c r="AW3" s="564"/>
      <c r="AX3" s="564"/>
      <c r="AY3" s="564"/>
      <c r="AZ3" s="564"/>
      <c r="BA3" s="564"/>
      <c r="BB3" s="564"/>
      <c r="BC3" s="564"/>
      <c r="BD3" s="564"/>
      <c r="BE3" s="564"/>
    </row>
    <row r="4" spans="1:58" ht="82.95" customHeight="1" x14ac:dyDescent="0.25">
      <c r="A4" s="564"/>
      <c r="B4" s="533"/>
      <c r="C4" s="533"/>
      <c r="D4" s="533"/>
      <c r="E4" s="533"/>
      <c r="F4" s="534"/>
      <c r="G4" s="534"/>
      <c r="H4" s="534"/>
      <c r="I4" s="15" t="s">
        <v>40</v>
      </c>
      <c r="J4" s="15" t="s">
        <v>41</v>
      </c>
      <c r="K4" s="15" t="s">
        <v>42</v>
      </c>
      <c r="L4" s="15" t="s">
        <v>43</v>
      </c>
      <c r="M4" s="15" t="s">
        <v>44</v>
      </c>
      <c r="N4" s="15" t="s">
        <v>45</v>
      </c>
      <c r="O4" s="15" t="s">
        <v>46</v>
      </c>
      <c r="P4" s="15" t="s">
        <v>47</v>
      </c>
      <c r="Q4" s="15" t="s">
        <v>48</v>
      </c>
      <c r="R4" s="15" t="s">
        <v>49</v>
      </c>
      <c r="S4" s="15" t="s">
        <v>50</v>
      </c>
      <c r="T4" s="15" t="s">
        <v>51</v>
      </c>
      <c r="V4" s="32" t="s">
        <v>71</v>
      </c>
      <c r="W4" s="32" t="s">
        <v>107</v>
      </c>
      <c r="X4" s="47"/>
      <c r="Y4" s="564"/>
      <c r="Z4" s="519"/>
      <c r="AA4" s="533"/>
      <c r="AB4" s="533"/>
      <c r="AC4" s="533"/>
      <c r="AD4" s="534"/>
      <c r="AE4" s="534"/>
      <c r="AF4" s="534"/>
      <c r="AG4" s="519"/>
      <c r="AH4" s="561"/>
      <c r="AI4" s="533"/>
      <c r="AJ4" s="533"/>
      <c r="AK4" s="534"/>
      <c r="AL4" s="534"/>
      <c r="AM4" s="534"/>
      <c r="AN4" s="519"/>
      <c r="AO4" s="559"/>
      <c r="AP4" s="557"/>
      <c r="AQ4" s="557"/>
      <c r="AR4" s="493"/>
      <c r="AS4" s="493"/>
      <c r="AT4" s="422" t="s">
        <v>40</v>
      </c>
      <c r="AU4" s="422" t="s">
        <v>41</v>
      </c>
      <c r="AV4" s="422" t="s">
        <v>42</v>
      </c>
      <c r="AW4" s="422" t="s">
        <v>43</v>
      </c>
      <c r="AX4" s="422" t="s">
        <v>44</v>
      </c>
      <c r="AY4" s="422" t="s">
        <v>45</v>
      </c>
      <c r="AZ4" s="422" t="s">
        <v>46</v>
      </c>
      <c r="BA4" s="422" t="s">
        <v>47</v>
      </c>
      <c r="BB4" s="422" t="s">
        <v>48</v>
      </c>
      <c r="BC4" s="422" t="s">
        <v>49</v>
      </c>
      <c r="BD4" s="422" t="s">
        <v>50</v>
      </c>
      <c r="BE4" s="422" t="s">
        <v>51</v>
      </c>
    </row>
    <row r="5" spans="1:58" ht="15.6" x14ac:dyDescent="0.25">
      <c r="A5" s="26"/>
      <c r="B5" s="27"/>
      <c r="C5" s="34" t="s">
        <v>52</v>
      </c>
      <c r="D5" s="27"/>
      <c r="E5" s="27"/>
      <c r="F5" s="28"/>
      <c r="G5" s="28">
        <f>514509.25-814008.7</f>
        <v>-299499.45</v>
      </c>
      <c r="H5" s="2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V5" s="114">
        <v>553078.91</v>
      </c>
      <c r="W5" s="116" t="s">
        <v>127</v>
      </c>
      <c r="X5" s="47"/>
      <c r="Y5" s="99">
        <v>1</v>
      </c>
      <c r="Z5" s="45"/>
      <c r="AA5" s="34" t="s">
        <v>74</v>
      </c>
      <c r="AB5" s="45"/>
      <c r="AC5" s="45"/>
      <c r="AD5" s="43"/>
      <c r="AE5" s="73">
        <f>V41</f>
        <v>-186573</v>
      </c>
      <c r="AF5" s="43"/>
      <c r="AG5" s="146">
        <v>1</v>
      </c>
      <c r="AH5" s="157" t="s">
        <v>136</v>
      </c>
      <c r="AI5" s="145"/>
      <c r="AJ5" s="145"/>
      <c r="AK5" s="146"/>
      <c r="AL5" s="73">
        <f>AE5</f>
        <v>-186573</v>
      </c>
      <c r="AM5" s="146"/>
      <c r="AN5" s="146">
        <v>1</v>
      </c>
      <c r="AO5" s="472" t="s">
        <v>190</v>
      </c>
      <c r="AP5" s="449"/>
      <c r="AQ5" s="449"/>
      <c r="AR5" s="450"/>
      <c r="AS5" s="451">
        <f>'[2]К. Беляева 40В'!$D$84</f>
        <v>-155865.9</v>
      </c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</row>
    <row r="6" spans="1:58" ht="27.6" x14ac:dyDescent="0.25">
      <c r="A6" s="134"/>
      <c r="B6" s="136"/>
      <c r="C6" s="34"/>
      <c r="D6" s="136"/>
      <c r="E6" s="136"/>
      <c r="F6" s="137"/>
      <c r="G6" s="137"/>
      <c r="H6" s="137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V6" s="114"/>
      <c r="W6" s="116"/>
      <c r="X6" s="47"/>
      <c r="Y6" s="134">
        <v>2</v>
      </c>
      <c r="Z6" s="136"/>
      <c r="AA6" s="34" t="s">
        <v>129</v>
      </c>
      <c r="AB6" s="136"/>
      <c r="AC6" s="136"/>
      <c r="AD6" s="137"/>
      <c r="AE6" s="73">
        <f>'МКД К.Беляева 40В'!E17</f>
        <v>1030406</v>
      </c>
      <c r="AF6" s="137"/>
      <c r="AG6" s="146">
        <v>2</v>
      </c>
      <c r="AH6" s="157" t="s">
        <v>137</v>
      </c>
      <c r="AI6" s="145"/>
      <c r="AJ6" s="145"/>
      <c r="AK6" s="146"/>
      <c r="AL6" s="73">
        <f>AE6</f>
        <v>1030406</v>
      </c>
      <c r="AM6" s="146"/>
      <c r="AN6" s="146">
        <v>2</v>
      </c>
      <c r="AO6" s="472" t="s">
        <v>317</v>
      </c>
      <c r="AP6" s="449"/>
      <c r="AQ6" s="449"/>
      <c r="AR6" s="450"/>
      <c r="AS6" s="451">
        <f>'[3]2025'!$M$97</f>
        <v>89200</v>
      </c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</row>
    <row r="7" spans="1:58" ht="21" customHeight="1" x14ac:dyDescent="0.3">
      <c r="A7" s="186"/>
      <c r="B7" s="185"/>
      <c r="C7" s="34"/>
      <c r="D7" s="185"/>
      <c r="E7" s="185"/>
      <c r="F7" s="184"/>
      <c r="G7" s="184"/>
      <c r="H7" s="184"/>
      <c r="I7" s="184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116"/>
      <c r="W7" s="116"/>
      <c r="X7" s="47"/>
      <c r="Z7" s="186"/>
      <c r="AA7" s="186"/>
      <c r="AB7" s="187"/>
      <c r="AC7" s="34"/>
      <c r="AD7" s="185"/>
      <c r="AE7" s="185"/>
      <c r="AF7" s="184"/>
      <c r="AG7" s="97"/>
      <c r="AH7" s="184"/>
      <c r="AI7" s="183"/>
      <c r="AJ7" s="204" t="s">
        <v>181</v>
      </c>
      <c r="AK7" s="185"/>
      <c r="AL7" s="185"/>
      <c r="AM7" s="184"/>
      <c r="AN7" s="205"/>
      <c r="AO7" s="460" t="s">
        <v>313</v>
      </c>
      <c r="AP7" s="452"/>
      <c r="AQ7" s="452"/>
      <c r="AR7" s="452"/>
      <c r="AS7" s="453">
        <f>'МКД К.Беляева 40В'!E31</f>
        <v>649504.72</v>
      </c>
      <c r="AT7" s="211"/>
      <c r="AU7" s="211"/>
      <c r="AV7" s="211"/>
      <c r="AW7" s="211"/>
      <c r="AX7" s="211"/>
      <c r="AY7" s="211"/>
      <c r="AZ7" s="211"/>
      <c r="BA7" s="211"/>
      <c r="BB7" s="213"/>
      <c r="BC7" s="213"/>
      <c r="BD7" s="213"/>
      <c r="BE7" s="213"/>
    </row>
    <row r="8" spans="1:58" ht="9" hidden="1" customHeight="1" x14ac:dyDescent="0.3">
      <c r="A8" s="168"/>
      <c r="B8" s="167"/>
      <c r="C8" s="34"/>
      <c r="D8" s="167"/>
      <c r="E8" s="167"/>
      <c r="F8" s="166"/>
      <c r="G8" s="166"/>
      <c r="H8" s="166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V8" s="114"/>
      <c r="W8" s="116"/>
      <c r="X8" s="47"/>
      <c r="Y8" s="168"/>
      <c r="Z8" s="167"/>
      <c r="AA8" s="34"/>
      <c r="AB8" s="167"/>
      <c r="AC8" s="167"/>
      <c r="AD8" s="166"/>
      <c r="AE8" s="73"/>
      <c r="AF8" s="166"/>
      <c r="AG8" s="166"/>
      <c r="AH8" s="157"/>
      <c r="AI8" s="167"/>
      <c r="AJ8" s="167"/>
      <c r="AK8" s="166"/>
      <c r="AL8" s="73"/>
      <c r="AM8" s="166"/>
      <c r="AN8" s="166"/>
      <c r="AO8" s="473"/>
      <c r="AP8" s="455"/>
      <c r="AQ8" s="456"/>
      <c r="AR8" s="457"/>
      <c r="AS8" s="451"/>
      <c r="AT8" s="211"/>
      <c r="AU8" s="211"/>
      <c r="AV8" s="38"/>
      <c r="AW8" s="38"/>
      <c r="AX8" s="38"/>
      <c r="AY8" s="211"/>
      <c r="AZ8" s="211"/>
      <c r="BA8" s="211"/>
      <c r="BB8" s="211"/>
      <c r="BC8" s="211"/>
      <c r="BD8" s="211"/>
      <c r="BE8" s="211"/>
    </row>
    <row r="9" spans="1:58" ht="28.2" hidden="1" x14ac:dyDescent="0.3">
      <c r="A9" s="9">
        <v>1</v>
      </c>
      <c r="B9" s="12" t="s">
        <v>32</v>
      </c>
      <c r="C9" s="12" t="s">
        <v>68</v>
      </c>
      <c r="D9" s="1" t="s">
        <v>28</v>
      </c>
      <c r="E9" s="13">
        <v>200</v>
      </c>
      <c r="F9" s="10">
        <v>200</v>
      </c>
      <c r="G9" s="35">
        <f>E9*F9</f>
        <v>40000</v>
      </c>
      <c r="H9" s="11">
        <f>E9</f>
        <v>200</v>
      </c>
      <c r="I9" s="11"/>
      <c r="J9" s="11"/>
      <c r="K9" s="11"/>
      <c r="L9" s="11"/>
      <c r="M9" s="11"/>
      <c r="N9" s="11"/>
      <c r="O9" s="11"/>
      <c r="P9" s="39"/>
      <c r="Q9" s="39"/>
      <c r="R9" s="11"/>
      <c r="S9" s="11"/>
      <c r="T9" s="11"/>
      <c r="V9" s="115">
        <f>20000+6500</f>
        <v>26500</v>
      </c>
      <c r="W9" s="120" t="s">
        <v>120</v>
      </c>
      <c r="X9" s="48">
        <f>G9-V9</f>
        <v>13500</v>
      </c>
      <c r="Y9" s="136">
        <v>3</v>
      </c>
      <c r="Z9" s="12" t="s">
        <v>32</v>
      </c>
      <c r="AA9" s="12" t="s">
        <v>68</v>
      </c>
      <c r="AB9" s="1" t="s">
        <v>28</v>
      </c>
      <c r="AC9" s="13">
        <f>AE9/AD9</f>
        <v>375</v>
      </c>
      <c r="AD9" s="10">
        <v>200</v>
      </c>
      <c r="AE9" s="35">
        <v>75000</v>
      </c>
      <c r="AF9" s="11">
        <f>AE9</f>
        <v>75000</v>
      </c>
      <c r="AG9" s="123">
        <v>3</v>
      </c>
      <c r="AH9" s="148" t="s">
        <v>139</v>
      </c>
      <c r="AI9" s="1" t="s">
        <v>28</v>
      </c>
      <c r="AJ9" s="13">
        <f>AL9/AK9</f>
        <v>375</v>
      </c>
      <c r="AK9" s="10">
        <v>200</v>
      </c>
      <c r="AL9" s="35">
        <v>75000</v>
      </c>
      <c r="AM9" s="11"/>
      <c r="AN9" s="35">
        <v>3</v>
      </c>
      <c r="AO9" s="473"/>
      <c r="AP9" s="458"/>
      <c r="AQ9" s="458"/>
      <c r="AR9" s="457"/>
      <c r="AS9" s="459"/>
      <c r="AT9" s="31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</row>
    <row r="10" spans="1:58" ht="28.2" hidden="1" x14ac:dyDescent="0.3">
      <c r="A10" s="9">
        <v>2</v>
      </c>
      <c r="B10" s="12" t="s">
        <v>30</v>
      </c>
      <c r="C10" s="12" t="s">
        <v>30</v>
      </c>
      <c r="D10" s="9" t="s">
        <v>28</v>
      </c>
      <c r="E10" s="19">
        <f>G10/F10</f>
        <v>34.200000000000003</v>
      </c>
      <c r="F10" s="10">
        <v>5261.4</v>
      </c>
      <c r="G10" s="35">
        <v>180000</v>
      </c>
      <c r="H10" s="11">
        <f>F10</f>
        <v>5261</v>
      </c>
      <c r="I10" s="11"/>
      <c r="J10" s="11"/>
      <c r="K10" s="11"/>
      <c r="L10" s="11"/>
      <c r="M10" s="11"/>
      <c r="N10" s="11"/>
      <c r="O10" s="11"/>
      <c r="P10" s="11"/>
      <c r="Q10" s="39"/>
      <c r="R10" s="11"/>
      <c r="S10" s="11"/>
      <c r="T10" s="11"/>
      <c r="V10" s="33">
        <f>'[5]ИП Ковин'!$I$15</f>
        <v>157060.5</v>
      </c>
      <c r="W10" s="78" t="s">
        <v>124</v>
      </c>
      <c r="X10" s="48">
        <f t="shared" ref="X10:X39" si="0">G10-V10</f>
        <v>22940</v>
      </c>
      <c r="Y10" s="136">
        <v>4</v>
      </c>
      <c r="Z10" s="12" t="s">
        <v>30</v>
      </c>
      <c r="AA10" s="12" t="s">
        <v>30</v>
      </c>
      <c r="AB10" s="9" t="s">
        <v>28</v>
      </c>
      <c r="AC10" s="19">
        <f>AE10/AD10</f>
        <v>34.200000000000003</v>
      </c>
      <c r="AD10" s="10">
        <v>5261.4</v>
      </c>
      <c r="AE10" s="35">
        <v>180000</v>
      </c>
      <c r="AF10" s="11">
        <v>144600</v>
      </c>
      <c r="AG10" s="123">
        <v>4</v>
      </c>
      <c r="AH10" s="148" t="s">
        <v>30</v>
      </c>
      <c r="AI10" s="9" t="s">
        <v>28</v>
      </c>
      <c r="AJ10" s="19">
        <f>AL10/AK10</f>
        <v>34.200000000000003</v>
      </c>
      <c r="AK10" s="10">
        <v>5261.4</v>
      </c>
      <c r="AL10" s="35">
        <v>180000</v>
      </c>
      <c r="AM10" s="11"/>
      <c r="AN10" s="35">
        <v>4</v>
      </c>
      <c r="AO10" s="473"/>
      <c r="AP10" s="455"/>
      <c r="AQ10" s="456"/>
      <c r="AR10" s="457"/>
      <c r="AS10" s="459"/>
      <c r="AT10" s="212"/>
      <c r="AU10" s="212"/>
      <c r="AV10" s="212"/>
      <c r="AW10" s="212"/>
      <c r="AX10" s="212"/>
      <c r="AY10" s="31"/>
      <c r="AZ10" s="31"/>
      <c r="BA10" s="31"/>
      <c r="BB10" s="212"/>
      <c r="BC10" s="212"/>
      <c r="BD10" s="212"/>
      <c r="BE10" s="212"/>
    </row>
    <row r="11" spans="1:58" ht="5.25" hidden="1" customHeight="1" x14ac:dyDescent="0.3">
      <c r="A11" s="55">
        <v>3</v>
      </c>
      <c r="B11" s="62"/>
      <c r="C11" s="54" t="s">
        <v>34</v>
      </c>
      <c r="D11" s="55"/>
      <c r="E11" s="56">
        <f>G11</f>
        <v>270000</v>
      </c>
      <c r="F11" s="57"/>
      <c r="G11" s="58">
        <v>270000</v>
      </c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62"/>
      <c r="V11" s="68"/>
      <c r="W11" s="78"/>
      <c r="X11" s="60"/>
      <c r="Y11" s="134">
        <v>5</v>
      </c>
      <c r="Z11" s="14"/>
      <c r="AA11" s="21" t="s">
        <v>84</v>
      </c>
      <c r="AB11" s="13" t="s">
        <v>26</v>
      </c>
      <c r="AC11" s="29">
        <v>6000</v>
      </c>
      <c r="AD11" s="30">
        <v>10</v>
      </c>
      <c r="AE11" s="36">
        <v>60000</v>
      </c>
      <c r="AF11" s="11">
        <f>AE11</f>
        <v>60000</v>
      </c>
      <c r="AG11" s="123">
        <v>5</v>
      </c>
      <c r="AH11" s="148" t="str">
        <f>AA11</f>
        <v>Замена редукторов давления.</v>
      </c>
      <c r="AI11" s="13" t="s">
        <v>26</v>
      </c>
      <c r="AJ11" s="29">
        <v>6000</v>
      </c>
      <c r="AK11" s="30">
        <v>10</v>
      </c>
      <c r="AL11" s="36">
        <v>60000</v>
      </c>
      <c r="AM11" s="11"/>
      <c r="AN11" s="35">
        <v>5</v>
      </c>
      <c r="AO11" s="473"/>
      <c r="AP11" s="458"/>
      <c r="AQ11" s="458"/>
      <c r="AR11" s="457"/>
      <c r="AS11" s="459"/>
      <c r="AT11" s="212"/>
      <c r="AU11" s="212"/>
      <c r="AV11" s="212"/>
      <c r="AW11" s="31"/>
      <c r="AX11" s="212"/>
      <c r="AY11" s="212"/>
      <c r="AZ11" s="212"/>
      <c r="BA11" s="212"/>
      <c r="BB11" s="212"/>
      <c r="BC11" s="212"/>
      <c r="BD11" s="212"/>
      <c r="BE11" s="212"/>
    </row>
    <row r="12" spans="1:58" ht="30.45" customHeight="1" x14ac:dyDescent="0.3">
      <c r="A12" s="9" t="s">
        <v>55</v>
      </c>
      <c r="C12" s="20" t="s">
        <v>36</v>
      </c>
      <c r="D12" s="9" t="s">
        <v>119</v>
      </c>
      <c r="E12" s="19">
        <f>G12/F12</f>
        <v>27500</v>
      </c>
      <c r="F12" s="10">
        <v>4</v>
      </c>
      <c r="G12" s="35">
        <f>220000/2</f>
        <v>110000</v>
      </c>
      <c r="H12" s="11">
        <v>4</v>
      </c>
      <c r="I12" s="11"/>
      <c r="J12" s="11"/>
      <c r="K12" s="11"/>
      <c r="L12" s="11"/>
      <c r="M12" s="11"/>
      <c r="N12" s="39"/>
      <c r="O12" s="39"/>
      <c r="P12" s="39"/>
      <c r="Q12" s="11"/>
      <c r="R12" s="11"/>
      <c r="S12" s="11"/>
      <c r="T12" s="11"/>
      <c r="V12" s="33">
        <v>0</v>
      </c>
      <c r="W12" s="78" t="s">
        <v>108</v>
      </c>
      <c r="X12" s="48">
        <f t="shared" si="0"/>
        <v>110000</v>
      </c>
      <c r="Y12" s="136">
        <v>6</v>
      </c>
      <c r="Z12" s="12" t="s">
        <v>31</v>
      </c>
      <c r="AA12" s="12" t="s">
        <v>138</v>
      </c>
      <c r="AB12" s="9" t="s">
        <v>26</v>
      </c>
      <c r="AC12" s="9">
        <f>85000/2</f>
        <v>42500</v>
      </c>
      <c r="AD12" s="9">
        <v>1</v>
      </c>
      <c r="AE12" s="35">
        <f t="shared" ref="AE12" si="1">AC12*AD12</f>
        <v>42500</v>
      </c>
      <c r="AF12" s="11">
        <f>AE12</f>
        <v>42500</v>
      </c>
      <c r="AG12" s="145">
        <v>6</v>
      </c>
      <c r="AH12" s="148" t="str">
        <f>AA12</f>
        <v>Подготовка к отопительному сезону 2021-2022гг. Сдача опрессовки, промывка теплообменников ГВС ( замена вышедших из строя затворов, шаровых кранов, манометров, термометров и прочего оборудования)</v>
      </c>
      <c r="AI12" s="9" t="s">
        <v>26</v>
      </c>
      <c r="AJ12" s="9">
        <f>85000/2</f>
        <v>42500</v>
      </c>
      <c r="AK12" s="9">
        <v>1</v>
      </c>
      <c r="AL12" s="35">
        <f t="shared" ref="AL12" si="2">AJ12*AK12</f>
        <v>42500</v>
      </c>
      <c r="AM12" s="11"/>
      <c r="AN12" s="35">
        <v>6</v>
      </c>
      <c r="AO12" s="454" t="s">
        <v>316</v>
      </c>
      <c r="AP12" s="455"/>
      <c r="AQ12" s="455"/>
      <c r="AR12" s="455"/>
      <c r="AS12" s="459">
        <v>70000</v>
      </c>
      <c r="AT12" s="213"/>
      <c r="AU12" s="213"/>
      <c r="AV12" s="213"/>
      <c r="AW12" s="213"/>
      <c r="AX12" s="213"/>
      <c r="AY12" s="149"/>
      <c r="AZ12" s="149"/>
      <c r="BA12" s="149"/>
      <c r="BB12" s="213"/>
      <c r="BC12" s="213"/>
      <c r="BD12" s="213"/>
      <c r="BE12" s="213"/>
    </row>
    <row r="13" spans="1:58" s="277" customFormat="1" ht="18.75" customHeight="1" x14ac:dyDescent="0.3">
      <c r="A13" s="9"/>
      <c r="C13" s="20"/>
      <c r="D13" s="9"/>
      <c r="E13" s="19"/>
      <c r="F13" s="10"/>
      <c r="G13" s="35"/>
      <c r="H13" s="11"/>
      <c r="I13" s="11"/>
      <c r="J13" s="11"/>
      <c r="K13" s="11"/>
      <c r="L13" s="11"/>
      <c r="M13" s="11"/>
      <c r="N13" s="39"/>
      <c r="O13" s="39"/>
      <c r="P13" s="39"/>
      <c r="Q13" s="11"/>
      <c r="R13" s="11"/>
      <c r="S13" s="11"/>
      <c r="T13" s="11"/>
      <c r="V13" s="33"/>
      <c r="W13" s="78"/>
      <c r="X13" s="48"/>
      <c r="Y13" s="345"/>
      <c r="Z13" s="12"/>
      <c r="AA13" s="12"/>
      <c r="AB13" s="9"/>
      <c r="AC13" s="9"/>
      <c r="AD13" s="9"/>
      <c r="AE13" s="35"/>
      <c r="AF13" s="11"/>
      <c r="AG13" s="345"/>
      <c r="AH13" s="148"/>
      <c r="AI13" s="9"/>
      <c r="AJ13" s="9"/>
      <c r="AK13" s="9"/>
      <c r="AL13" s="35"/>
      <c r="AM13" s="11"/>
      <c r="AN13" s="35"/>
      <c r="AO13" s="472" t="s">
        <v>311</v>
      </c>
      <c r="AP13" s="455"/>
      <c r="AQ13" s="455"/>
      <c r="AR13" s="455"/>
      <c r="AS13" s="459">
        <v>2800</v>
      </c>
      <c r="AT13" s="213"/>
      <c r="AU13" s="149"/>
      <c r="AV13" s="213"/>
      <c r="AW13" s="213"/>
      <c r="AX13" s="213"/>
      <c r="AY13" s="33"/>
      <c r="AZ13" s="33"/>
      <c r="BA13" s="33"/>
      <c r="BB13" s="213"/>
      <c r="BC13" s="213"/>
      <c r="BD13" s="213"/>
      <c r="BE13" s="213"/>
    </row>
    <row r="14" spans="1:58" ht="16.95" customHeight="1" x14ac:dyDescent="0.3">
      <c r="A14" s="9"/>
      <c r="C14" s="20"/>
      <c r="D14" s="9"/>
      <c r="E14" s="19"/>
      <c r="F14" s="10"/>
      <c r="G14" s="35"/>
      <c r="H14" s="11"/>
      <c r="I14" s="11"/>
      <c r="J14" s="11"/>
      <c r="K14" s="11"/>
      <c r="L14" s="11"/>
      <c r="M14" s="11"/>
      <c r="N14" s="39"/>
      <c r="O14" s="39"/>
      <c r="P14" s="39"/>
      <c r="Q14" s="11"/>
      <c r="R14" s="11"/>
      <c r="S14" s="11"/>
      <c r="T14" s="11"/>
      <c r="V14" s="33"/>
      <c r="W14" s="78"/>
      <c r="X14" s="48"/>
      <c r="Y14" s="231"/>
      <c r="Z14" s="12"/>
      <c r="AA14" s="12"/>
      <c r="AB14" s="9"/>
      <c r="AC14" s="9"/>
      <c r="AD14" s="9"/>
      <c r="AE14" s="35"/>
      <c r="AF14" s="11"/>
      <c r="AG14" s="231"/>
      <c r="AH14" s="148"/>
      <c r="AI14" s="9"/>
      <c r="AJ14" s="9"/>
      <c r="AK14" s="9"/>
      <c r="AL14" s="35"/>
      <c r="AM14" s="11"/>
      <c r="AN14" s="35"/>
      <c r="AO14" s="472" t="s">
        <v>203</v>
      </c>
      <c r="AP14" s="461"/>
      <c r="AQ14" s="461"/>
      <c r="AR14" s="471" t="s">
        <v>217</v>
      </c>
      <c r="AS14" s="462">
        <f>'ТК МКД К.Беляева 40 Г'!AL10</f>
        <v>278805</v>
      </c>
      <c r="AT14" s="230"/>
      <c r="AU14" s="230"/>
      <c r="AV14" s="229"/>
      <c r="AW14" s="229"/>
      <c r="AX14" s="230"/>
      <c r="AY14" s="232"/>
      <c r="AZ14" s="232"/>
      <c r="BA14" s="230"/>
      <c r="BB14" s="230"/>
      <c r="BC14" s="229"/>
      <c r="BD14" s="230"/>
      <c r="BE14" s="230"/>
    </row>
    <row r="15" spans="1:58" ht="34.950000000000003" customHeight="1" x14ac:dyDescent="0.3">
      <c r="A15" s="9"/>
      <c r="C15" s="20"/>
      <c r="D15" s="9"/>
      <c r="E15" s="19"/>
      <c r="F15" s="10"/>
      <c r="G15" s="35"/>
      <c r="H15" s="11"/>
      <c r="I15" s="11"/>
      <c r="J15" s="11"/>
      <c r="K15" s="11"/>
      <c r="L15" s="11"/>
      <c r="M15" s="11"/>
      <c r="N15" s="39"/>
      <c r="O15" s="39"/>
      <c r="P15" s="39"/>
      <c r="Q15" s="11"/>
      <c r="R15" s="11"/>
      <c r="S15" s="11"/>
      <c r="T15" s="11"/>
      <c r="V15" s="33"/>
      <c r="W15" s="78"/>
      <c r="X15" s="48"/>
      <c r="Y15" s="231"/>
      <c r="Z15" s="12"/>
      <c r="AA15" s="12"/>
      <c r="AB15" s="9"/>
      <c r="AC15" s="9"/>
      <c r="AD15" s="9"/>
      <c r="AE15" s="35"/>
      <c r="AF15" s="11"/>
      <c r="AG15" s="231"/>
      <c r="AH15" s="148"/>
      <c r="AI15" s="9"/>
      <c r="AJ15" s="9"/>
      <c r="AK15" s="9"/>
      <c r="AL15" s="35"/>
      <c r="AM15" s="11"/>
      <c r="AN15" s="35"/>
      <c r="AO15" s="476" t="s">
        <v>392</v>
      </c>
      <c r="AP15" s="463" t="s">
        <v>194</v>
      </c>
      <c r="AQ15" s="463">
        <v>150000</v>
      </c>
      <c r="AR15" s="463" t="s">
        <v>195</v>
      </c>
      <c r="AS15" s="464">
        <v>70000</v>
      </c>
      <c r="AT15" s="249"/>
      <c r="AU15" s="253"/>
      <c r="AV15" s="249"/>
      <c r="AW15" s="250"/>
      <c r="AX15" s="249"/>
      <c r="AY15" s="249"/>
      <c r="AZ15" s="249"/>
      <c r="BA15" s="249"/>
      <c r="BB15" s="249"/>
      <c r="BC15" s="249"/>
      <c r="BD15" s="249"/>
      <c r="BE15" s="249"/>
      <c r="BF15" s="154"/>
    </row>
    <row r="16" spans="1:58" ht="41.25" customHeight="1" x14ac:dyDescent="0.3">
      <c r="A16" s="9"/>
      <c r="C16" s="20"/>
      <c r="D16" s="9"/>
      <c r="E16" s="19"/>
      <c r="F16" s="10"/>
      <c r="G16" s="35"/>
      <c r="H16" s="11"/>
      <c r="I16" s="11"/>
      <c r="J16" s="11"/>
      <c r="K16" s="11"/>
      <c r="L16" s="11"/>
      <c r="M16" s="11"/>
      <c r="N16" s="39"/>
      <c r="O16" s="39"/>
      <c r="P16" s="39"/>
      <c r="Q16" s="11"/>
      <c r="R16" s="11"/>
      <c r="S16" s="11"/>
      <c r="T16" s="11"/>
      <c r="V16" s="33"/>
      <c r="W16" s="78"/>
      <c r="X16" s="48"/>
      <c r="Y16" s="231"/>
      <c r="Z16" s="12"/>
      <c r="AA16" s="12"/>
      <c r="AB16" s="9"/>
      <c r="AC16" s="9"/>
      <c r="AD16" s="9"/>
      <c r="AE16" s="35"/>
      <c r="AF16" s="11"/>
      <c r="AG16" s="231"/>
      <c r="AH16" s="148"/>
      <c r="AI16" s="9"/>
      <c r="AJ16" s="9"/>
      <c r="AK16" s="9"/>
      <c r="AL16" s="35"/>
      <c r="AM16" s="11"/>
      <c r="AN16" s="35"/>
      <c r="AO16" s="473" t="s">
        <v>199</v>
      </c>
      <c r="AP16" s="463" t="s">
        <v>194</v>
      </c>
      <c r="AQ16" s="465">
        <v>125686.5</v>
      </c>
      <c r="AR16" s="463" t="s">
        <v>195</v>
      </c>
      <c r="AS16" s="464">
        <v>125686.5</v>
      </c>
      <c r="AT16" s="249"/>
      <c r="AU16" s="249"/>
      <c r="AV16" s="249"/>
      <c r="AW16" s="249"/>
      <c r="AX16" s="249"/>
      <c r="AY16" s="250"/>
      <c r="AZ16" s="252"/>
      <c r="BA16" s="249"/>
      <c r="BB16" s="249"/>
      <c r="BC16" s="249"/>
      <c r="BD16" s="249"/>
      <c r="BE16" s="249"/>
      <c r="BF16" s="5"/>
    </row>
    <row r="17" spans="1:57" ht="80.25" customHeight="1" x14ac:dyDescent="0.3">
      <c r="A17" s="9" t="s">
        <v>56</v>
      </c>
      <c r="C17" s="21" t="str">
        <f>'[6]ТК МКД К.Беляева 40 В'!$C$8</f>
        <v>замена лежанок горячего водоснабжения;</v>
      </c>
      <c r="D17" s="13" t="s">
        <v>119</v>
      </c>
      <c r="E17" s="19">
        <v>2083.3000000000002</v>
      </c>
      <c r="F17" s="10">
        <v>60</v>
      </c>
      <c r="G17" s="35">
        <v>125000</v>
      </c>
      <c r="H17" s="11">
        <v>10</v>
      </c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V17" s="31">
        <v>0</v>
      </c>
      <c r="W17" s="78" t="s">
        <v>108</v>
      </c>
      <c r="X17" s="48">
        <f t="shared" si="0"/>
        <v>125000</v>
      </c>
      <c r="Y17" s="136">
        <v>7</v>
      </c>
      <c r="Z17" s="9">
        <v>6</v>
      </c>
      <c r="AA17" s="12" t="s">
        <v>96</v>
      </c>
      <c r="AB17" s="9" t="s">
        <v>26</v>
      </c>
      <c r="AC17" s="35">
        <f>AE17</f>
        <v>78000</v>
      </c>
      <c r="AD17" s="9">
        <v>1</v>
      </c>
      <c r="AE17" s="35">
        <f>40000+38000</f>
        <v>78000</v>
      </c>
      <c r="AF17" s="11">
        <f>AE17</f>
        <v>78000</v>
      </c>
      <c r="AG17" s="145">
        <v>7</v>
      </c>
      <c r="AH17" s="148" t="s">
        <v>143</v>
      </c>
      <c r="AI17" s="9" t="s">
        <v>26</v>
      </c>
      <c r="AJ17" s="35">
        <f>AL17</f>
        <v>78000</v>
      </c>
      <c r="AK17" s="9">
        <v>1</v>
      </c>
      <c r="AL17" s="35">
        <f>40000+38000</f>
        <v>78000</v>
      </c>
      <c r="AM17" s="11"/>
      <c r="AN17" s="35">
        <v>7</v>
      </c>
      <c r="AO17" s="473" t="str">
        <f t="shared" ref="AO17" si="3">AH17</f>
        <v>Местный ремонт в местах общего пользования.
-ремонт деревянных дверей (регулировка, петли, ручки, доводчики)
- покраска металлических ограждений
- ремонт штукатурки пожарной лестницы</v>
      </c>
      <c r="AP17" s="455"/>
      <c r="AQ17" s="466"/>
      <c r="AR17" s="455"/>
      <c r="AS17" s="462">
        <v>17200</v>
      </c>
      <c r="AT17" s="218"/>
      <c r="AU17" s="213"/>
      <c r="AV17" s="213"/>
      <c r="AW17" s="213"/>
      <c r="AX17" s="213"/>
      <c r="AY17" s="33"/>
      <c r="AZ17" s="213"/>
      <c r="BA17" s="149"/>
      <c r="BB17" s="213"/>
      <c r="BC17" s="213"/>
      <c r="BD17" s="213"/>
      <c r="BE17" s="213"/>
    </row>
    <row r="18" spans="1:57" ht="20.25" customHeight="1" x14ac:dyDescent="0.3">
      <c r="A18" s="9"/>
      <c r="C18" s="12"/>
      <c r="D18" s="13"/>
      <c r="E18" s="11"/>
      <c r="F18" s="30"/>
      <c r="G18" s="29"/>
      <c r="H18" s="11"/>
      <c r="I18" s="11"/>
      <c r="J18" s="11"/>
      <c r="K18" s="11"/>
      <c r="L18" s="11"/>
      <c r="M18" s="11"/>
      <c r="N18" s="11"/>
      <c r="O18" s="39"/>
      <c r="P18" s="39"/>
      <c r="Q18" s="39"/>
      <c r="R18" s="11"/>
      <c r="S18" s="11"/>
      <c r="T18" s="11"/>
      <c r="V18" s="33"/>
      <c r="W18" s="120"/>
      <c r="X18" s="48"/>
      <c r="Y18" s="5"/>
      <c r="Z18" s="9"/>
      <c r="AA18" s="21"/>
      <c r="AB18" s="227"/>
      <c r="AC18" s="13"/>
      <c r="AD18" s="29"/>
      <c r="AE18" s="36"/>
      <c r="AF18" s="11"/>
      <c r="AG18" s="228"/>
      <c r="AH18" s="148"/>
      <c r="AI18" s="9"/>
      <c r="AJ18" s="9"/>
      <c r="AK18" s="35"/>
      <c r="AL18" s="9"/>
      <c r="AM18" s="35"/>
      <c r="AN18" s="35"/>
      <c r="AO18" s="467" t="str">
        <f>AH26</f>
        <v>Итого работ, в сумме, в руб.</v>
      </c>
      <c r="AP18" s="468"/>
      <c r="AQ18" s="469"/>
      <c r="AR18" s="468"/>
      <c r="AS18" s="470">
        <f>SUM(AS8:AS17)</f>
        <v>564491.5</v>
      </c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</row>
    <row r="19" spans="1:57" ht="35.25" hidden="1" customHeight="1" x14ac:dyDescent="0.25">
      <c r="A19" s="9"/>
      <c r="C19" s="12"/>
      <c r="D19" s="13"/>
      <c r="E19" s="11"/>
      <c r="F19" s="30"/>
      <c r="G19" s="29"/>
      <c r="H19" s="11"/>
      <c r="I19" s="11"/>
      <c r="J19" s="11"/>
      <c r="K19" s="11"/>
      <c r="L19" s="11"/>
      <c r="M19" s="11"/>
      <c r="N19" s="11"/>
      <c r="O19" s="39"/>
      <c r="P19" s="39"/>
      <c r="Q19" s="39"/>
      <c r="R19" s="11"/>
      <c r="S19" s="11"/>
      <c r="T19" s="11"/>
      <c r="V19" s="33"/>
      <c r="W19" s="120"/>
      <c r="X19" s="48"/>
      <c r="Y19" s="5"/>
      <c r="Z19" s="9"/>
      <c r="AA19" s="21"/>
      <c r="AB19" s="227"/>
      <c r="AC19" s="13"/>
      <c r="AD19" s="29"/>
      <c r="AE19" s="36"/>
      <c r="AF19" s="11"/>
      <c r="AG19" s="228"/>
      <c r="AH19" s="148"/>
      <c r="AI19" s="9"/>
      <c r="AJ19" s="9"/>
      <c r="AK19" s="35"/>
      <c r="AL19" s="9"/>
      <c r="AM19" s="35"/>
      <c r="AN19" s="35"/>
      <c r="AS19" s="2">
        <f>AS5+AS6+AS7-AS18</f>
        <v>18347.319999999901</v>
      </c>
    </row>
    <row r="20" spans="1:57" ht="52.5" customHeight="1" x14ac:dyDescent="0.25">
      <c r="A20" s="9"/>
      <c r="C20" s="12"/>
      <c r="D20" s="13"/>
      <c r="E20" s="11"/>
      <c r="F20" s="30"/>
      <c r="G20" s="29"/>
      <c r="H20" s="11"/>
      <c r="I20" s="11"/>
      <c r="J20" s="11"/>
      <c r="K20" s="11"/>
      <c r="L20" s="11"/>
      <c r="M20" s="11"/>
      <c r="N20" s="11"/>
      <c r="O20" s="39"/>
      <c r="P20" s="39"/>
      <c r="Q20" s="39"/>
      <c r="R20" s="11"/>
      <c r="S20" s="11"/>
      <c r="T20" s="11"/>
      <c r="V20" s="33"/>
      <c r="W20" s="120"/>
      <c r="X20" s="48"/>
      <c r="Y20" s="5"/>
      <c r="Z20" s="9"/>
      <c r="AA20" s="21"/>
      <c r="AB20" s="227"/>
      <c r="AC20" s="13"/>
      <c r="AD20" s="29"/>
      <c r="AE20" s="36"/>
      <c r="AF20" s="11"/>
      <c r="AG20" s="228"/>
      <c r="AH20" s="148"/>
      <c r="AI20" s="9"/>
      <c r="AJ20" s="9"/>
      <c r="AK20" s="35"/>
      <c r="AL20" s="9"/>
      <c r="AM20" s="35"/>
      <c r="AN20" s="35"/>
      <c r="AO20" s="16"/>
      <c r="AS20" s="16"/>
    </row>
    <row r="21" spans="1:57" ht="52.5" customHeight="1" x14ac:dyDescent="0.25">
      <c r="A21" s="9"/>
      <c r="C21" s="12"/>
      <c r="D21" s="13"/>
      <c r="E21" s="11"/>
      <c r="F21" s="30"/>
      <c r="G21" s="29"/>
      <c r="H21" s="11"/>
      <c r="I21" s="11"/>
      <c r="J21" s="11"/>
      <c r="K21" s="11"/>
      <c r="L21" s="11"/>
      <c r="M21" s="11"/>
      <c r="N21" s="11"/>
      <c r="O21" s="39"/>
      <c r="P21" s="39"/>
      <c r="Q21" s="39"/>
      <c r="R21" s="11"/>
      <c r="S21" s="11"/>
      <c r="T21" s="11"/>
      <c r="V21" s="33"/>
      <c r="W21" s="120"/>
      <c r="X21" s="48"/>
      <c r="Y21" s="5"/>
      <c r="Z21" s="9"/>
      <c r="AA21" s="21"/>
      <c r="AB21" s="227"/>
      <c r="AC21" s="13"/>
      <c r="AD21" s="29"/>
      <c r="AE21" s="36"/>
      <c r="AF21" s="11"/>
      <c r="AG21" s="228"/>
      <c r="AH21" s="148"/>
      <c r="AI21" s="9"/>
      <c r="AJ21" s="9"/>
      <c r="AK21" s="35"/>
      <c r="AL21" s="9"/>
      <c r="AM21" s="35"/>
      <c r="AN21" s="35"/>
      <c r="AO21" s="16"/>
      <c r="AS21" s="16"/>
    </row>
    <row r="22" spans="1:57" ht="19.5" customHeight="1" x14ac:dyDescent="0.25">
      <c r="A22" s="9"/>
      <c r="C22" s="12"/>
      <c r="D22" s="13"/>
      <c r="E22" s="11"/>
      <c r="F22" s="30"/>
      <c r="G22" s="29"/>
      <c r="H22" s="11"/>
      <c r="I22" s="11"/>
      <c r="J22" s="11"/>
      <c r="K22" s="11"/>
      <c r="L22" s="11"/>
      <c r="M22" s="11"/>
      <c r="N22" s="11"/>
      <c r="O22" s="39"/>
      <c r="P22" s="39"/>
      <c r="Q22" s="39"/>
      <c r="R22" s="11"/>
      <c r="S22" s="11"/>
      <c r="T22" s="11"/>
      <c r="V22" s="33"/>
      <c r="W22" s="120"/>
      <c r="X22" s="48"/>
      <c r="Y22" s="5"/>
      <c r="Z22" s="9"/>
      <c r="AA22" s="21"/>
      <c r="AB22" s="227"/>
      <c r="AC22" s="13"/>
      <c r="AD22" s="29"/>
      <c r="AE22" s="36"/>
      <c r="AF22" s="11"/>
      <c r="AG22" s="228"/>
      <c r="AH22" s="148"/>
      <c r="AI22" s="9"/>
      <c r="AJ22" s="9"/>
      <c r="AK22" s="35"/>
      <c r="AL22" s="9"/>
      <c r="AM22" s="35"/>
      <c r="AN22" s="35"/>
    </row>
    <row r="23" spans="1:57" ht="48" customHeight="1" x14ac:dyDescent="0.25">
      <c r="A23" s="9"/>
      <c r="C23" s="12"/>
      <c r="D23" s="13"/>
      <c r="E23" s="11"/>
      <c r="F23" s="30"/>
      <c r="G23" s="29"/>
      <c r="H23" s="11"/>
      <c r="I23" s="11"/>
      <c r="J23" s="11"/>
      <c r="K23" s="11"/>
      <c r="L23" s="11"/>
      <c r="M23" s="11"/>
      <c r="N23" s="11"/>
      <c r="O23" s="39"/>
      <c r="P23" s="39"/>
      <c r="Q23" s="39"/>
      <c r="R23" s="11"/>
      <c r="S23" s="11"/>
      <c r="T23" s="11"/>
      <c r="V23" s="33"/>
      <c r="W23" s="120"/>
      <c r="X23" s="48"/>
      <c r="Y23" s="5"/>
      <c r="Z23" s="9"/>
      <c r="AA23" s="21"/>
      <c r="AB23" s="227"/>
      <c r="AC23" s="13"/>
      <c r="AD23" s="29"/>
      <c r="AE23" s="36"/>
      <c r="AF23" s="11"/>
      <c r="AG23" s="228"/>
      <c r="AH23" s="148"/>
      <c r="AI23" s="9"/>
      <c r="AJ23" s="9"/>
      <c r="AK23" s="35"/>
      <c r="AL23" s="9"/>
      <c r="AM23" s="35"/>
      <c r="AN23" s="35"/>
    </row>
    <row r="24" spans="1:57" ht="48" customHeight="1" x14ac:dyDescent="0.25">
      <c r="A24" s="9"/>
      <c r="C24" s="12"/>
      <c r="D24" s="13"/>
      <c r="E24" s="11"/>
      <c r="F24" s="30"/>
      <c r="G24" s="29"/>
      <c r="H24" s="11"/>
      <c r="I24" s="11"/>
      <c r="J24" s="11"/>
      <c r="K24" s="11"/>
      <c r="L24" s="11"/>
      <c r="M24" s="11"/>
      <c r="N24" s="11"/>
      <c r="O24" s="39"/>
      <c r="P24" s="39"/>
      <c r="Q24" s="39"/>
      <c r="R24" s="11"/>
      <c r="S24" s="11"/>
      <c r="T24" s="11"/>
      <c r="V24" s="33"/>
      <c r="W24" s="120"/>
      <c r="X24" s="48"/>
      <c r="Y24" s="5"/>
      <c r="Z24" s="9"/>
      <c r="AA24" s="21"/>
      <c r="AB24" s="227"/>
      <c r="AC24" s="13"/>
      <c r="AD24" s="29"/>
      <c r="AE24" s="36"/>
      <c r="AF24" s="11"/>
      <c r="AG24" s="228"/>
      <c r="AH24" s="148"/>
      <c r="AI24" s="9"/>
      <c r="AJ24" s="9"/>
      <c r="AK24" s="35"/>
      <c r="AL24" s="9"/>
      <c r="AM24" s="35"/>
      <c r="AN24" s="35"/>
    </row>
    <row r="25" spans="1:57" ht="15" customHeight="1" x14ac:dyDescent="0.25">
      <c r="A25" s="167"/>
      <c r="C25" s="12"/>
      <c r="D25" s="13"/>
      <c r="E25" s="35"/>
      <c r="F25" s="30"/>
      <c r="G25" s="29"/>
      <c r="H25" s="29"/>
      <c r="I25" s="11"/>
      <c r="J25" s="11"/>
      <c r="K25" s="11"/>
      <c r="L25" s="11"/>
      <c r="M25" s="11"/>
      <c r="N25" s="11"/>
      <c r="O25" s="11"/>
      <c r="P25" s="39"/>
      <c r="Q25" s="39"/>
      <c r="R25" s="39"/>
      <c r="S25" s="11"/>
      <c r="T25" s="11"/>
      <c r="U25" s="11"/>
      <c r="V25" s="117"/>
      <c r="W25" s="120"/>
      <c r="X25" s="48"/>
      <c r="Z25" s="9"/>
      <c r="AA25" s="9"/>
      <c r="AB25" s="113"/>
      <c r="AC25" s="12"/>
      <c r="AD25" s="9"/>
      <c r="AE25" s="35"/>
      <c r="AF25" s="167"/>
      <c r="AG25" s="70"/>
      <c r="AH25" s="11"/>
      <c r="AI25" s="123"/>
      <c r="AJ25" s="147" t="s">
        <v>148</v>
      </c>
      <c r="AK25" s="9"/>
      <c r="AL25" s="35"/>
      <c r="AM25" s="167"/>
      <c r="AN25" s="35">
        <f>'МКД К.Беляева 40 Б'!X15</f>
        <v>0</v>
      </c>
    </row>
    <row r="26" spans="1:57" ht="16.5" customHeight="1" x14ac:dyDescent="0.25">
      <c r="A26" s="9">
        <v>5</v>
      </c>
      <c r="B26" s="12" t="s">
        <v>27</v>
      </c>
      <c r="C26" s="12" t="s">
        <v>27</v>
      </c>
      <c r="D26" s="9" t="str">
        <f>D17</f>
        <v>м.п</v>
      </c>
      <c r="E26" s="32">
        <v>500</v>
      </c>
      <c r="F26" s="30">
        <v>20</v>
      </c>
      <c r="G26" s="36">
        <f t="shared" ref="G26:G27" si="4">E26*F26</f>
        <v>10000</v>
      </c>
      <c r="H26" s="11">
        <v>20</v>
      </c>
      <c r="I26" s="11"/>
      <c r="J26" s="11"/>
      <c r="K26" s="11"/>
      <c r="L26" s="11"/>
      <c r="M26" s="11"/>
      <c r="N26" s="39"/>
      <c r="O26" s="39"/>
      <c r="P26" s="39"/>
      <c r="Q26" s="11"/>
      <c r="R26" s="11"/>
      <c r="S26" s="11"/>
      <c r="T26" s="11"/>
      <c r="V26" s="31">
        <f>G26</f>
        <v>10000</v>
      </c>
      <c r="W26" s="122"/>
      <c r="X26" s="48">
        <f t="shared" si="0"/>
        <v>0</v>
      </c>
      <c r="Y26" s="136">
        <v>4</v>
      </c>
      <c r="Z26" s="9">
        <v>7</v>
      </c>
      <c r="AA26" s="12" t="s">
        <v>77</v>
      </c>
      <c r="AB26" s="9" t="s">
        <v>78</v>
      </c>
      <c r="AC26" s="35">
        <f>AE26/AD26</f>
        <v>500</v>
      </c>
      <c r="AD26" s="9">
        <v>20</v>
      </c>
      <c r="AE26" s="35">
        <v>10000</v>
      </c>
      <c r="AF26" s="14"/>
      <c r="AG26" s="123">
        <v>10</v>
      </c>
      <c r="AH26" s="61" t="str">
        <f>AA32</f>
        <v>Итого работ, в сумме, в руб.</v>
      </c>
      <c r="AI26" s="55"/>
      <c r="AJ26" s="64"/>
      <c r="AK26" s="66"/>
      <c r="AL26" s="58" t="e">
        <f>AL9+AL10+AL11+AL12+AL17+#REF!+#REF!</f>
        <v>#REF!</v>
      </c>
      <c r="AM26" s="59"/>
      <c r="AN26" s="58">
        <v>10</v>
      </c>
    </row>
    <row r="27" spans="1:57" ht="19.5" customHeight="1" x14ac:dyDescent="0.25">
      <c r="A27" s="9">
        <v>6</v>
      </c>
      <c r="B27" s="12" t="s">
        <v>31</v>
      </c>
      <c r="C27" s="12" t="str">
        <f>B27</f>
        <v>Подготовка к отопительному сезону 2019-2020гг. Сдача опрессовки, промывка теплообменников ГВС ( замена вышедших из строя затворов, шаровых кранов, манометров, термометров и прочего оборудования)</v>
      </c>
      <c r="D27" s="9" t="s">
        <v>26</v>
      </c>
      <c r="E27" s="14">
        <f>85000/2</f>
        <v>42500</v>
      </c>
      <c r="F27" s="14">
        <v>1</v>
      </c>
      <c r="G27" s="35">
        <f t="shared" si="4"/>
        <v>42500</v>
      </c>
      <c r="H27" s="14">
        <v>1</v>
      </c>
      <c r="I27" s="14"/>
      <c r="J27" s="14"/>
      <c r="K27" s="14"/>
      <c r="L27" s="14"/>
      <c r="M27" s="14"/>
      <c r="N27" s="40"/>
      <c r="O27" s="40"/>
      <c r="P27" s="40"/>
      <c r="Q27" s="14"/>
      <c r="R27" s="14"/>
      <c r="S27" s="14"/>
      <c r="T27" s="14"/>
      <c r="V27" s="31">
        <f>G27</f>
        <v>42500</v>
      </c>
      <c r="W27" s="122"/>
      <c r="X27" s="48">
        <f t="shared" si="0"/>
        <v>0</v>
      </c>
      <c r="Y27" s="136">
        <v>5</v>
      </c>
      <c r="Z27" s="9">
        <v>8</v>
      </c>
      <c r="AA27" s="12" t="s">
        <v>79</v>
      </c>
      <c r="AB27" s="9" t="s">
        <v>26</v>
      </c>
      <c r="AC27" s="9"/>
      <c r="AD27" s="35"/>
      <c r="AE27" s="9">
        <v>0</v>
      </c>
      <c r="AF27" s="35"/>
      <c r="AG27" s="123">
        <v>11</v>
      </c>
      <c r="AH27" s="157" t="str">
        <f>AA33</f>
        <v>Дефицит/ профицит</v>
      </c>
      <c r="AI27" s="14"/>
      <c r="AJ27" s="14"/>
      <c r="AK27" s="14"/>
      <c r="AL27" s="35" t="e">
        <f>AL5+AL6-AL26</f>
        <v>#REF!</v>
      </c>
      <c r="AM27" s="11"/>
      <c r="AN27" s="58">
        <v>11</v>
      </c>
    </row>
    <row r="28" spans="1:57" ht="14.25" customHeight="1" x14ac:dyDescent="0.25">
      <c r="A28" s="9">
        <v>5</v>
      </c>
      <c r="C28" s="12" t="s">
        <v>86</v>
      </c>
      <c r="D28" s="13"/>
      <c r="E28" s="35"/>
      <c r="F28" s="30"/>
      <c r="G28" s="29"/>
      <c r="H28" s="29"/>
      <c r="I28" s="11"/>
      <c r="J28" s="11"/>
      <c r="K28" s="11"/>
      <c r="L28" s="11"/>
      <c r="M28" s="11"/>
      <c r="N28" s="11"/>
      <c r="O28" s="11"/>
      <c r="P28" s="39"/>
      <c r="Q28" s="39"/>
      <c r="R28" s="39"/>
      <c r="S28" s="11"/>
      <c r="T28" s="11"/>
      <c r="U28" s="11"/>
      <c r="V28" s="33">
        <v>41715.94</v>
      </c>
      <c r="W28" s="120" t="e">
        <f>#REF!</f>
        <v>#REF!</v>
      </c>
      <c r="X28" s="48">
        <f t="shared" si="0"/>
        <v>-41716</v>
      </c>
      <c r="Y28" s="136">
        <v>10</v>
      </c>
      <c r="Z28" s="9">
        <v>10</v>
      </c>
      <c r="AA28" s="12" t="s">
        <v>93</v>
      </c>
      <c r="AB28" s="9" t="s">
        <v>26</v>
      </c>
      <c r="AC28" s="9"/>
      <c r="AD28" s="35"/>
      <c r="AE28" s="9">
        <v>15000</v>
      </c>
      <c r="AF28" s="158">
        <f>AE28</f>
        <v>15000</v>
      </c>
      <c r="AG28" s="70"/>
      <c r="AH28" s="5"/>
      <c r="AL28" s="18"/>
    </row>
    <row r="29" spans="1:57" ht="31.5" customHeight="1" x14ac:dyDescent="0.25">
      <c r="A29" s="9">
        <v>6</v>
      </c>
      <c r="C29" s="12" t="s">
        <v>90</v>
      </c>
      <c r="D29" s="13"/>
      <c r="E29" s="35"/>
      <c r="F29" s="30"/>
      <c r="G29" s="29"/>
      <c r="H29" s="29"/>
      <c r="I29" s="11"/>
      <c r="J29" s="11"/>
      <c r="K29" s="11"/>
      <c r="L29" s="11"/>
      <c r="M29" s="11"/>
      <c r="N29" s="11"/>
      <c r="O29" s="11"/>
      <c r="P29" s="39"/>
      <c r="Q29" s="39"/>
      <c r="R29" s="39"/>
      <c r="S29" s="11"/>
      <c r="T29" s="11"/>
      <c r="U29" s="11"/>
      <c r="V29" s="115">
        <f>'[4]текущий ремонт'!$F$10</f>
        <v>8864.57</v>
      </c>
      <c r="W29" s="120" t="e">
        <f>W28</f>
        <v>#REF!</v>
      </c>
      <c r="X29" s="48">
        <f t="shared" si="0"/>
        <v>-8865</v>
      </c>
      <c r="Y29" s="136">
        <v>11</v>
      </c>
      <c r="Z29" s="9">
        <v>11</v>
      </c>
      <c r="AA29" s="12" t="s">
        <v>81</v>
      </c>
      <c r="AB29" s="9" t="s">
        <v>83</v>
      </c>
      <c r="AC29" s="9">
        <f>AE29</f>
        <v>55000</v>
      </c>
      <c r="AD29" s="35">
        <v>1</v>
      </c>
      <c r="AE29" s="32">
        <v>55000</v>
      </c>
      <c r="AF29" s="158">
        <v>0</v>
      </c>
      <c r="AG29" s="70"/>
      <c r="AH29" s="152"/>
      <c r="AM29" s="16"/>
      <c r="AN29" s="16"/>
    </row>
    <row r="30" spans="1:57" ht="29.25" customHeight="1" x14ac:dyDescent="0.25">
      <c r="A30" s="9"/>
      <c r="C30" s="12"/>
      <c r="D30" s="13"/>
      <c r="E30" s="35"/>
      <c r="F30" s="30"/>
      <c r="G30" s="29"/>
      <c r="H30" s="29"/>
      <c r="I30" s="11"/>
      <c r="J30" s="11"/>
      <c r="K30" s="11"/>
      <c r="L30" s="11"/>
      <c r="M30" s="11"/>
      <c r="N30" s="11"/>
      <c r="O30" s="11"/>
      <c r="P30" s="39"/>
      <c r="Q30" s="39"/>
      <c r="R30" s="39"/>
      <c r="S30" s="11"/>
      <c r="T30" s="11"/>
      <c r="U30" s="11"/>
      <c r="V30" s="115"/>
      <c r="W30" s="120"/>
      <c r="X30" s="48"/>
      <c r="Y30" s="136">
        <v>12</v>
      </c>
      <c r="Z30" s="9"/>
      <c r="AA30" s="12" t="s">
        <v>128</v>
      </c>
      <c r="AB30" s="9" t="s">
        <v>26</v>
      </c>
      <c r="AC30" s="35">
        <f>AE30</f>
        <v>37500</v>
      </c>
      <c r="AD30" s="35">
        <v>1</v>
      </c>
      <c r="AE30" s="35">
        <f>'ТК МКД К.Беляева 40 Б'!AG23</f>
        <v>37500</v>
      </c>
      <c r="AF30" s="158">
        <f>AE30</f>
        <v>37500</v>
      </c>
      <c r="AG30" s="160"/>
      <c r="AH30" s="152"/>
      <c r="AM30" s="16"/>
      <c r="AN30" s="16"/>
    </row>
    <row r="31" spans="1:57" ht="18" customHeight="1" x14ac:dyDescent="0.25">
      <c r="A31" s="9"/>
      <c r="C31" s="12"/>
      <c r="D31" s="13"/>
      <c r="E31" s="35"/>
      <c r="F31" s="30"/>
      <c r="G31" s="29"/>
      <c r="H31" s="29"/>
      <c r="I31" s="11"/>
      <c r="J31" s="11"/>
      <c r="K31" s="11"/>
      <c r="L31" s="11"/>
      <c r="M31" s="11"/>
      <c r="N31" s="11"/>
      <c r="O31" s="11"/>
      <c r="P31" s="39"/>
      <c r="Q31" s="39"/>
      <c r="R31" s="39"/>
      <c r="S31" s="11"/>
      <c r="T31" s="11"/>
      <c r="U31" s="11"/>
      <c r="V31" s="115"/>
      <c r="W31" s="120"/>
      <c r="X31" s="48"/>
      <c r="Y31" s="9">
        <v>13</v>
      </c>
      <c r="Z31" s="113"/>
      <c r="AA31" s="12" t="s">
        <v>38</v>
      </c>
      <c r="AB31" s="9"/>
      <c r="AC31" s="35">
        <f>AE31</f>
        <v>71400</v>
      </c>
      <c r="AD31" s="138">
        <v>1</v>
      </c>
      <c r="AE31" s="35">
        <v>71400</v>
      </c>
      <c r="AF31" s="158">
        <f>AE31</f>
        <v>71400</v>
      </c>
      <c r="AG31" s="5"/>
      <c r="AH31" s="5"/>
    </row>
    <row r="32" spans="1:57" ht="15" customHeight="1" x14ac:dyDescent="0.25">
      <c r="A32" s="9">
        <v>8</v>
      </c>
      <c r="C32" s="12" t="s">
        <v>88</v>
      </c>
      <c r="D32" s="13"/>
      <c r="E32" s="35"/>
      <c r="F32" s="30"/>
      <c r="G32" s="29"/>
      <c r="H32" s="29"/>
      <c r="I32" s="11"/>
      <c r="J32" s="11"/>
      <c r="K32" s="11"/>
      <c r="L32" s="11"/>
      <c r="M32" s="11"/>
      <c r="N32" s="11"/>
      <c r="O32" s="11"/>
      <c r="P32" s="39"/>
      <c r="Q32" s="39"/>
      <c r="R32" s="39"/>
      <c r="S32" s="11"/>
      <c r="T32" s="11"/>
      <c r="U32" s="11"/>
      <c r="V32" s="33">
        <f>'ТК МКД К.Беляева 40 Б'!V22</f>
        <v>11125</v>
      </c>
      <c r="W32" s="78" t="s">
        <v>121</v>
      </c>
      <c r="X32" s="48">
        <f t="shared" si="0"/>
        <v>-11125</v>
      </c>
      <c r="Y32" s="136">
        <v>14</v>
      </c>
      <c r="Z32" s="12"/>
      <c r="AA32" s="63" t="s">
        <v>53</v>
      </c>
      <c r="AB32" s="55"/>
      <c r="AC32" s="64"/>
      <c r="AD32" s="66"/>
      <c r="AE32" s="58" t="e">
        <f>AE9+AE10+AE11+AE12+AE17+#REF!+#REF!+AE28+AE29+AE30+AE31</f>
        <v>#REF!</v>
      </c>
      <c r="AF32" s="159" t="e">
        <f>AF9+AF10+AF11+AF12+AF17+#REF!+#REF!+AF28+AF30+AF31</f>
        <v>#REF!</v>
      </c>
      <c r="AG32" s="5"/>
      <c r="AH32" s="5"/>
    </row>
    <row r="33" spans="1:33" ht="12.75" customHeight="1" x14ac:dyDescent="0.25">
      <c r="A33" s="9">
        <v>9</v>
      </c>
      <c r="C33" s="12" t="s">
        <v>91</v>
      </c>
      <c r="D33" s="13"/>
      <c r="E33" s="35"/>
      <c r="F33" s="30"/>
      <c r="G33" s="29"/>
      <c r="H33" s="29"/>
      <c r="I33" s="11"/>
      <c r="J33" s="11"/>
      <c r="K33" s="11"/>
      <c r="L33" s="11"/>
      <c r="M33" s="11"/>
      <c r="N33" s="11"/>
      <c r="O33" s="11"/>
      <c r="P33" s="39"/>
      <c r="Q33" s="39"/>
      <c r="R33" s="39"/>
      <c r="S33" s="11"/>
      <c r="T33" s="11"/>
      <c r="U33" s="11"/>
      <c r="V33" s="33">
        <f>'ТК МКД К.Беляева 40 Б'!V25</f>
        <v>13754</v>
      </c>
      <c r="W33" s="120" t="e">
        <f>W29</f>
        <v>#REF!</v>
      </c>
      <c r="X33" s="48">
        <f t="shared" si="0"/>
        <v>-13754</v>
      </c>
      <c r="Y33" s="136">
        <v>15</v>
      </c>
      <c r="Z33" s="14"/>
      <c r="AA33" s="14" t="s">
        <v>54</v>
      </c>
      <c r="AB33" s="14"/>
      <c r="AC33" s="14"/>
      <c r="AD33" s="14"/>
      <c r="AE33" s="35" t="e">
        <f>AE5+AE6-AE32</f>
        <v>#REF!</v>
      </c>
      <c r="AF33" s="11" t="e">
        <f>AE5+AE6-AF32</f>
        <v>#REF!</v>
      </c>
      <c r="AG33" s="16"/>
    </row>
    <row r="34" spans="1:33" ht="31.5" customHeight="1" x14ac:dyDescent="0.25">
      <c r="A34" s="9">
        <v>10</v>
      </c>
      <c r="C34" s="12" t="s">
        <v>95</v>
      </c>
      <c r="D34" s="13"/>
      <c r="E34" s="35"/>
      <c r="F34" s="30"/>
      <c r="G34" s="29"/>
      <c r="H34" s="29"/>
      <c r="I34" s="11"/>
      <c r="J34" s="11"/>
      <c r="K34" s="11"/>
      <c r="L34" s="11"/>
      <c r="M34" s="11"/>
      <c r="N34" s="11"/>
      <c r="O34" s="11"/>
      <c r="P34" s="39"/>
      <c r="Q34" s="39"/>
      <c r="R34" s="39"/>
      <c r="S34" s="11"/>
      <c r="T34" s="11"/>
      <c r="U34" s="11"/>
      <c r="V34" s="115">
        <f>'ТК МКД К.Беляева 40 Б'!V26</f>
        <v>15147.88</v>
      </c>
      <c r="W34" s="120" t="e">
        <f>W33</f>
        <v>#REF!</v>
      </c>
      <c r="X34" s="48">
        <f t="shared" si="0"/>
        <v>-15148</v>
      </c>
      <c r="Y34" s="9"/>
      <c r="AE34" s="18"/>
      <c r="AG34" s="16"/>
    </row>
    <row r="35" spans="1:33" ht="31.5" customHeight="1" x14ac:dyDescent="0.25">
      <c r="A35" s="9">
        <v>11</v>
      </c>
      <c r="C35" s="12" t="s">
        <v>92</v>
      </c>
      <c r="D35" s="13"/>
      <c r="E35" s="35"/>
      <c r="F35" s="30"/>
      <c r="G35" s="29"/>
      <c r="H35" s="29"/>
      <c r="I35" s="11"/>
      <c r="J35" s="11"/>
      <c r="K35" s="11"/>
      <c r="L35" s="11"/>
      <c r="M35" s="11"/>
      <c r="N35" s="11"/>
      <c r="O35" s="11"/>
      <c r="P35" s="39"/>
      <c r="Q35" s="39"/>
      <c r="R35" s="39"/>
      <c r="S35" s="11"/>
      <c r="T35" s="11"/>
      <c r="U35" s="11"/>
      <c r="V35" s="115">
        <f>'ТК МКД К.Беляева 40 Б'!V27</f>
        <v>19197.28</v>
      </c>
      <c r="W35" s="120" t="e">
        <f>W34</f>
        <v>#REF!</v>
      </c>
      <c r="X35" s="48">
        <f t="shared" si="0"/>
        <v>-19197</v>
      </c>
      <c r="Y35" s="9"/>
      <c r="AF35" s="16"/>
    </row>
    <row r="36" spans="1:33" ht="31.5" customHeight="1" x14ac:dyDescent="0.25">
      <c r="A36" s="9">
        <v>12</v>
      </c>
      <c r="C36" s="12" t="s">
        <v>27</v>
      </c>
      <c r="D36" s="9" t="str">
        <f>D26</f>
        <v>м.п</v>
      </c>
      <c r="E36" s="32">
        <v>500</v>
      </c>
      <c r="F36" s="30">
        <v>20</v>
      </c>
      <c r="G36" s="36">
        <f t="shared" ref="G36" si="5">E36*F36</f>
        <v>10000</v>
      </c>
      <c r="H36" s="36">
        <f>G36</f>
        <v>10000</v>
      </c>
      <c r="I36" s="11">
        <v>20</v>
      </c>
      <c r="J36" s="11"/>
      <c r="K36" s="11"/>
      <c r="L36" s="11"/>
      <c r="M36" s="11"/>
      <c r="N36" s="11"/>
      <c r="O36" s="39"/>
      <c r="P36" s="39"/>
      <c r="Q36" s="39"/>
      <c r="R36" s="11"/>
      <c r="S36" s="11"/>
      <c r="T36" s="11"/>
      <c r="U36" s="11"/>
      <c r="V36" s="110">
        <f>G36</f>
        <v>10000</v>
      </c>
      <c r="W36" s="122" t="s">
        <v>122</v>
      </c>
      <c r="X36" s="48"/>
      <c r="Y36" s="111"/>
      <c r="AF36" s="16"/>
    </row>
    <row r="37" spans="1:33" x14ac:dyDescent="0.25">
      <c r="A37" s="9">
        <v>13</v>
      </c>
      <c r="B37" s="12" t="s">
        <v>38</v>
      </c>
      <c r="C37" s="12" t="s">
        <v>58</v>
      </c>
      <c r="D37" s="9" t="s">
        <v>26</v>
      </c>
      <c r="E37" s="31">
        <f>G37</f>
        <v>40500</v>
      </c>
      <c r="F37" s="33">
        <v>1</v>
      </c>
      <c r="G37" s="36">
        <v>40500</v>
      </c>
      <c r="H37" s="14">
        <v>1</v>
      </c>
      <c r="I37" s="14"/>
      <c r="J37" s="14"/>
      <c r="K37" s="14"/>
      <c r="L37" s="40"/>
      <c r="M37" s="14"/>
      <c r="N37" s="14"/>
      <c r="O37" s="14"/>
      <c r="P37" s="14"/>
      <c r="Q37" s="14"/>
      <c r="R37" s="14"/>
      <c r="S37" s="14"/>
      <c r="T37" s="14"/>
      <c r="V37" s="31">
        <f>G37</f>
        <v>40500</v>
      </c>
      <c r="W37" s="122" t="s">
        <v>117</v>
      </c>
      <c r="X37" s="48">
        <f t="shared" si="0"/>
        <v>0</v>
      </c>
    </row>
    <row r="38" spans="1:33" ht="69" x14ac:dyDescent="0.25">
      <c r="A38" s="107">
        <v>14</v>
      </c>
      <c r="B38" s="12" t="s">
        <v>31</v>
      </c>
      <c r="C38" s="12" t="str">
        <f>B38</f>
        <v>Подготовка к отопительному сезону 2019-2020гг. Сдача опрессовки, промывка теплообменников ГВС ( замена вышедших из строя затворов, шаровых кранов, манометров, термометров и прочего оборудования)</v>
      </c>
      <c r="D38" s="9" t="s">
        <v>26</v>
      </c>
      <c r="E38" s="9">
        <f>85000/2</f>
        <v>42500</v>
      </c>
      <c r="F38" s="14">
        <v>1</v>
      </c>
      <c r="G38" s="35">
        <f t="shared" ref="G38" si="6">E38*F38</f>
        <v>42500</v>
      </c>
      <c r="H38" s="35">
        <f>G38</f>
        <v>42500</v>
      </c>
      <c r="I38" s="14">
        <v>1</v>
      </c>
      <c r="J38" s="14"/>
      <c r="K38" s="14"/>
      <c r="L38" s="14"/>
      <c r="M38" s="14"/>
      <c r="N38" s="14"/>
      <c r="O38" s="40"/>
      <c r="P38" s="40"/>
      <c r="Q38" s="40"/>
      <c r="R38" s="14"/>
      <c r="S38" s="14"/>
      <c r="T38" s="14"/>
      <c r="U38" s="14"/>
      <c r="V38" s="110">
        <f>H38</f>
        <v>42500</v>
      </c>
      <c r="W38" s="122" t="s">
        <v>116</v>
      </c>
      <c r="X38" s="48">
        <f t="shared" si="0"/>
        <v>0</v>
      </c>
    </row>
    <row r="39" spans="1:33" ht="41.4" x14ac:dyDescent="0.25">
      <c r="A39" s="9">
        <v>15</v>
      </c>
      <c r="B39" s="12"/>
      <c r="C39" s="12" t="s">
        <v>69</v>
      </c>
      <c r="D39" s="9" t="s">
        <v>26</v>
      </c>
      <c r="E39" s="2">
        <v>0</v>
      </c>
      <c r="F39" s="33">
        <v>0</v>
      </c>
      <c r="G39" s="36">
        <v>0</v>
      </c>
      <c r="H39" s="14">
        <v>1</v>
      </c>
      <c r="I39" s="14"/>
      <c r="J39" s="14"/>
      <c r="K39" s="14"/>
      <c r="L39" s="40"/>
      <c r="M39" s="14"/>
      <c r="N39" s="14"/>
      <c r="O39" s="14"/>
      <c r="P39" s="14"/>
      <c r="Q39" s="14"/>
      <c r="R39" s="14"/>
      <c r="S39" s="14"/>
      <c r="T39" s="14"/>
      <c r="V39" s="31">
        <v>1287</v>
      </c>
      <c r="W39" s="122" t="s">
        <v>118</v>
      </c>
      <c r="X39" s="48">
        <f t="shared" si="0"/>
        <v>-1287</v>
      </c>
      <c r="AE39" s="2" t="s">
        <v>59</v>
      </c>
    </row>
    <row r="40" spans="1:33" x14ac:dyDescent="0.25">
      <c r="A40" s="9">
        <v>16</v>
      </c>
      <c r="B40" s="12"/>
      <c r="C40" s="63" t="s">
        <v>53</v>
      </c>
      <c r="D40" s="55"/>
      <c r="E40" s="64"/>
      <c r="F40" s="64"/>
      <c r="G40" s="65" t="e">
        <f>G9+G10+G11+#REF!+G26+G27+G37</f>
        <v>#REF!</v>
      </c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2"/>
      <c r="V40" s="84">
        <f>SUM(V9:V39)</f>
        <v>440152</v>
      </c>
      <c r="W40" s="124"/>
      <c r="X40" s="60" t="e">
        <f>V40-G40</f>
        <v>#REF!</v>
      </c>
    </row>
    <row r="41" spans="1:33" x14ac:dyDescent="0.25">
      <c r="A41" s="9">
        <v>17</v>
      </c>
      <c r="B41" s="14"/>
      <c r="C41" s="14" t="s">
        <v>54</v>
      </c>
      <c r="D41" s="14"/>
      <c r="E41" s="14"/>
      <c r="F41" s="14"/>
      <c r="G41" s="35" t="e">
        <f>G40+299499.45+-'МКД К.Беляева 40В'!E17</f>
        <v>#REF!</v>
      </c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V41" s="31">
        <f>G5+V5-V40</f>
        <v>-186573</v>
      </c>
      <c r="W41" s="122"/>
      <c r="X41" s="47"/>
    </row>
    <row r="42" spans="1:33" x14ac:dyDescent="0.25">
      <c r="G42" s="18"/>
    </row>
    <row r="43" spans="1:33" x14ac:dyDescent="0.25">
      <c r="G43" s="2" t="e">
        <f>(G40/'МКД К.Беляева 40В'!C3)/12</f>
        <v>#REF!</v>
      </c>
    </row>
    <row r="46" spans="1:33" x14ac:dyDescent="0.25">
      <c r="G46" s="2" t="s">
        <v>59</v>
      </c>
    </row>
  </sheetData>
  <mergeCells count="37">
    <mergeCell ref="AD3:AD4"/>
    <mergeCell ref="AE3:AE4"/>
    <mergeCell ref="AF3:AF4"/>
    <mergeCell ref="Y3:Y4"/>
    <mergeCell ref="Z3:Z4"/>
    <mergeCell ref="AA3:AA4"/>
    <mergeCell ref="AB3:AB4"/>
    <mergeCell ref="AC3:AC4"/>
    <mergeCell ref="Z1:AX1"/>
    <mergeCell ref="V3:W3"/>
    <mergeCell ref="AT3:BE3"/>
    <mergeCell ref="A3:A4"/>
    <mergeCell ref="B3:B4"/>
    <mergeCell ref="D3:D4"/>
    <mergeCell ref="E3:E4"/>
    <mergeCell ref="F3:F4"/>
    <mergeCell ref="C3:C4"/>
    <mergeCell ref="AZ1:BE1"/>
    <mergeCell ref="P1:U1"/>
    <mergeCell ref="G3:G4"/>
    <mergeCell ref="B2:T2"/>
    <mergeCell ref="H3:H4"/>
    <mergeCell ref="I3:T3"/>
    <mergeCell ref="Z2:BE2"/>
    <mergeCell ref="AH3:AH4"/>
    <mergeCell ref="AG3:AG4"/>
    <mergeCell ref="AI3:AI4"/>
    <mergeCell ref="AJ3:AJ4"/>
    <mergeCell ref="AK3:AK4"/>
    <mergeCell ref="AQ3:AQ4"/>
    <mergeCell ref="AR3:AR4"/>
    <mergeCell ref="AS3:AS4"/>
    <mergeCell ref="AL3:AL4"/>
    <mergeCell ref="AM3:AM4"/>
    <mergeCell ref="AO3:AO4"/>
    <mergeCell ref="AN3:AN4"/>
    <mergeCell ref="AP3:AP4"/>
  </mergeCells>
  <pageMargins left="0.23622047244094491" right="0.23622047244094491" top="0.55118110236220474" bottom="0.55118110236220474" header="0.31496062992125984" footer="0.31496062992125984"/>
  <pageSetup paperSize="9" scale="65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B6B523A66479A46925D27951E2EF6F9" ma:contentTypeVersion="2" ma:contentTypeDescription="Создание документа." ma:contentTypeScope="" ma:versionID="c798f8b8a66e0569e95b99f83a778cf6">
  <xsd:schema xmlns:xsd="http://www.w3.org/2001/XMLSchema" xmlns:xs="http://www.w3.org/2001/XMLSchema" xmlns:p="http://schemas.microsoft.com/office/2006/metadata/properties" xmlns:ns2="7473dc27-fa1a-4161-b477-297a7233b9aa" targetNamespace="http://schemas.microsoft.com/office/2006/metadata/properties" ma:root="true" ma:fieldsID="0a06ff4e673480e1f3805eb28afa95f9" ns2:_="">
    <xsd:import namespace="7473dc27-fa1a-4161-b477-297a7233b9aa"/>
    <xsd:element name="properties">
      <xsd:complexType>
        <xsd:sequence>
          <xsd:element name="documentManagement">
            <xsd:complexType>
              <xsd:all>
                <xsd:element ref="ns2:st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73dc27-fa1a-4161-b477-297a7233b9aa" elementFormDefault="qualified">
    <xsd:import namespace="http://schemas.microsoft.com/office/2006/documentManagement/types"/>
    <xsd:import namespace="http://schemas.microsoft.com/office/infopath/2007/PartnerControls"/>
    <xsd:element name="stat" ma:index="1" nillable="true" ma:displayName="Статус" ma:format="Dropdown" ma:internalName="stat">
      <xsd:simpleType>
        <xsd:restriction base="dms:Choice">
          <xsd:enumeration value="Согласована"/>
          <xsd:enumeration value="На согласовании"/>
          <xsd:enumeration value="На доработке"/>
          <xsd:enumeration value="На удаление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Тип контента"/>
        <xsd:element ref="dc:title" minOccurs="0" maxOccurs="1" ma:index="2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 xmlns="7473dc27-fa1a-4161-b477-297a7233b9aa" xsi:nil="true"/>
  </documentManagement>
</p:properties>
</file>

<file path=customXml/itemProps1.xml><?xml version="1.0" encoding="utf-8"?>
<ds:datastoreItem xmlns:ds="http://schemas.openxmlformats.org/officeDocument/2006/customXml" ds:itemID="{9070337C-2FD2-4DF5-BD4F-71522CB75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73dc27-fa1a-4161-b477-297a7233b9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9D04D8-D327-41AA-8845-D1C758D4E5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D00529-E590-4B73-80DA-98E84C38B6C4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7473dc27-fa1a-4161-b477-297a7233b9aa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</vt:i4>
      </vt:variant>
    </vt:vector>
  </HeadingPairs>
  <TitlesOfParts>
    <vt:vector size="17" baseType="lpstr">
      <vt:lpstr>МКД К.Беляева 40 Б</vt:lpstr>
      <vt:lpstr>МКД К.Беляева 40В</vt:lpstr>
      <vt:lpstr>МКД К.Беляева 40 Г</vt:lpstr>
      <vt:lpstr>МКД К.Беляева 40 Д</vt:lpstr>
      <vt:lpstr>МКД К.Беляева 61В</vt:lpstr>
      <vt:lpstr>МКД Ш.Космонавтов ,104</vt:lpstr>
      <vt:lpstr>МКД Мира ,122_2</vt:lpstr>
      <vt:lpstr>ТК МКД К.Беляева 40 Б</vt:lpstr>
      <vt:lpstr>ТК МКД К.Беляева 40 В</vt:lpstr>
      <vt:lpstr>ТК МКД К.Беляева 40 Г</vt:lpstr>
      <vt:lpstr>ТК МКД К.Беляева 40 Д</vt:lpstr>
      <vt:lpstr>ТК МКД Ш.Космонавтов,104</vt:lpstr>
      <vt:lpstr>ТК МКД Мира ,122-2</vt:lpstr>
      <vt:lpstr>ТК МКД К. Беляева61в</vt:lpstr>
      <vt:lpstr>ОпцииПеречня</vt:lpstr>
      <vt:lpstr>conf</vt:lpstr>
      <vt:lpstr>'ТК МКД К.Беляева 40 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Malyutin Vyacheslav (DKS)</dc:creator>
  <cp:lastModifiedBy>Алена Чекмарева</cp:lastModifiedBy>
  <cp:lastPrinted>2026-03-23T04:39:17Z</cp:lastPrinted>
  <dcterms:created xsi:type="dcterms:W3CDTF">2015-02-12T13:01:25Z</dcterms:created>
  <dcterms:modified xsi:type="dcterms:W3CDTF">2026-07-09T12:24:03Z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0x0101009B6B523A66479A46925D27951E2EF6F9</vt:lpwstr>
  </property>
</Properties>
</file>